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-uemura\Downloads\"/>
    </mc:Choice>
  </mc:AlternateContent>
  <xr:revisionPtr revIDLastSave="0" documentId="13_ncr:1_{927DA551-62B8-4575-B3F4-E747FBE0B717}" xr6:coauthVersionLast="47" xr6:coauthVersionMax="47" xr10:uidLastSave="{00000000-0000-0000-0000-000000000000}"/>
  <workbookProtection workbookPassword="9747" lockStructure="1"/>
  <bookViews>
    <workbookView xWindow="28680" yWindow="0" windowWidth="29040" windowHeight="15720" xr2:uid="{00000000-000D-0000-FFFF-FFFF00000000}"/>
  </bookViews>
  <sheets>
    <sheet name="教室申込" sheetId="1" r:id="rId1"/>
    <sheet name="料金表" sheetId="2" r:id="rId2"/>
    <sheet name="名簿貼付用" sheetId="3" r:id="rId3"/>
    <sheet name="展開用" sheetId="4" state="hidden" r:id="rId4"/>
  </sheets>
  <definedNames>
    <definedName name="_xlnm.Print_Area" localSheetId="0">教室申込!$A$1:INDEX(教室申込!$L$1:$L$212,IFERROR(LOOKUP(2,1/(((教室申込!$B$13:$B$212&lt;&gt;"")+(教室申込!$C$13:$C$212&lt;&gt;"")+(教室申込!$D$13:$D$212&lt;&gt;"")+(教室申込!$F$13:$F$212&lt;&gt;"")+(教室申込!$G$13:$G$212&lt;&gt;"")+(教室申込!$H$13:$H$212&lt;&gt;"")+(教室申込!$I$13:$I$212&lt;&gt;"")+(教室申込!$J$13:$J$212&lt;&gt;""))&gt;0),ROW(教室申込!$B$13:$B$212)),12))</definedName>
    <definedName name="_xlnm.Print_Titles" localSheetId="0">教室申込!$11:$12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01" i="4" l="1"/>
  <c r="F601" i="4"/>
  <c r="D601" i="4"/>
  <c r="E601" i="4" s="1"/>
  <c r="C601" i="4"/>
  <c r="B601" i="4"/>
  <c r="A601" i="4"/>
  <c r="G600" i="4"/>
  <c r="F600" i="4"/>
  <c r="D600" i="4"/>
  <c r="E600" i="4" s="1"/>
  <c r="C600" i="4"/>
  <c r="B600" i="4"/>
  <c r="A600" i="4"/>
  <c r="G599" i="4"/>
  <c r="F599" i="4"/>
  <c r="D599" i="4"/>
  <c r="E599" i="4" s="1"/>
  <c r="C599" i="4"/>
  <c r="B599" i="4"/>
  <c r="A599" i="4"/>
  <c r="G598" i="4"/>
  <c r="F598" i="4"/>
  <c r="D598" i="4"/>
  <c r="E598" i="4" s="1"/>
  <c r="C598" i="4"/>
  <c r="B598" i="4"/>
  <c r="A598" i="4"/>
  <c r="G597" i="4"/>
  <c r="F597" i="4"/>
  <c r="D597" i="4"/>
  <c r="E597" i="4" s="1"/>
  <c r="C597" i="4"/>
  <c r="B597" i="4"/>
  <c r="A597" i="4"/>
  <c r="G596" i="4"/>
  <c r="F596" i="4"/>
  <c r="D596" i="4"/>
  <c r="E596" i="4" s="1"/>
  <c r="C596" i="4"/>
  <c r="B596" i="4"/>
  <c r="A596" i="4"/>
  <c r="G595" i="4"/>
  <c r="F595" i="4"/>
  <c r="D595" i="4"/>
  <c r="E595" i="4" s="1"/>
  <c r="C595" i="4"/>
  <c r="B595" i="4"/>
  <c r="A595" i="4"/>
  <c r="G594" i="4"/>
  <c r="F594" i="4"/>
  <c r="D594" i="4"/>
  <c r="E594" i="4" s="1"/>
  <c r="C594" i="4"/>
  <c r="B594" i="4"/>
  <c r="A594" i="4"/>
  <c r="G593" i="4"/>
  <c r="F593" i="4"/>
  <c r="D593" i="4"/>
  <c r="E593" i="4" s="1"/>
  <c r="C593" i="4"/>
  <c r="B593" i="4"/>
  <c r="A593" i="4"/>
  <c r="G592" i="4"/>
  <c r="F592" i="4"/>
  <c r="D592" i="4"/>
  <c r="E592" i="4" s="1"/>
  <c r="C592" i="4"/>
  <c r="B592" i="4"/>
  <c r="A592" i="4"/>
  <c r="G591" i="4"/>
  <c r="F591" i="4"/>
  <c r="D591" i="4"/>
  <c r="E591" i="4" s="1"/>
  <c r="C591" i="4"/>
  <c r="B591" i="4"/>
  <c r="A591" i="4"/>
  <c r="G590" i="4"/>
  <c r="F590" i="4"/>
  <c r="D590" i="4"/>
  <c r="E590" i="4" s="1"/>
  <c r="C590" i="4"/>
  <c r="B590" i="4"/>
  <c r="A590" i="4"/>
  <c r="G589" i="4"/>
  <c r="F589" i="4"/>
  <c r="D589" i="4"/>
  <c r="E589" i="4" s="1"/>
  <c r="C589" i="4"/>
  <c r="B589" i="4"/>
  <c r="A589" i="4"/>
  <c r="G588" i="4"/>
  <c r="F588" i="4"/>
  <c r="D588" i="4"/>
  <c r="E588" i="4" s="1"/>
  <c r="C588" i="4"/>
  <c r="B588" i="4"/>
  <c r="A588" i="4"/>
  <c r="G587" i="4"/>
  <c r="F587" i="4"/>
  <c r="D587" i="4"/>
  <c r="E587" i="4" s="1"/>
  <c r="C587" i="4"/>
  <c r="B587" i="4"/>
  <c r="A587" i="4"/>
  <c r="G586" i="4"/>
  <c r="F586" i="4"/>
  <c r="D586" i="4"/>
  <c r="E586" i="4" s="1"/>
  <c r="C586" i="4"/>
  <c r="B586" i="4"/>
  <c r="A586" i="4"/>
  <c r="G585" i="4"/>
  <c r="F585" i="4"/>
  <c r="D585" i="4"/>
  <c r="E585" i="4" s="1"/>
  <c r="C585" i="4"/>
  <c r="B585" i="4"/>
  <c r="A585" i="4"/>
  <c r="G584" i="4"/>
  <c r="F584" i="4"/>
  <c r="D584" i="4"/>
  <c r="E584" i="4" s="1"/>
  <c r="C584" i="4"/>
  <c r="B584" i="4"/>
  <c r="A584" i="4"/>
  <c r="G583" i="4"/>
  <c r="F583" i="4"/>
  <c r="D583" i="4"/>
  <c r="E583" i="4" s="1"/>
  <c r="C583" i="4"/>
  <c r="B583" i="4"/>
  <c r="A583" i="4"/>
  <c r="G582" i="4"/>
  <c r="F582" i="4"/>
  <c r="D582" i="4"/>
  <c r="E582" i="4" s="1"/>
  <c r="C582" i="4"/>
  <c r="B582" i="4"/>
  <c r="A582" i="4"/>
  <c r="G581" i="4"/>
  <c r="F581" i="4"/>
  <c r="D581" i="4"/>
  <c r="E581" i="4" s="1"/>
  <c r="C581" i="4"/>
  <c r="B581" i="4"/>
  <c r="A581" i="4"/>
  <c r="G580" i="4"/>
  <c r="F580" i="4"/>
  <c r="D580" i="4"/>
  <c r="E580" i="4" s="1"/>
  <c r="C580" i="4"/>
  <c r="B580" i="4"/>
  <c r="A580" i="4"/>
  <c r="G579" i="4"/>
  <c r="F579" i="4"/>
  <c r="D579" i="4"/>
  <c r="E579" i="4" s="1"/>
  <c r="C579" i="4"/>
  <c r="B579" i="4"/>
  <c r="A579" i="4"/>
  <c r="G578" i="4"/>
  <c r="F578" i="4"/>
  <c r="D578" i="4"/>
  <c r="E578" i="4" s="1"/>
  <c r="C578" i="4"/>
  <c r="B578" i="4"/>
  <c r="A578" i="4"/>
  <c r="G577" i="4"/>
  <c r="F577" i="4"/>
  <c r="D577" i="4"/>
  <c r="E577" i="4" s="1"/>
  <c r="C577" i="4"/>
  <c r="B577" i="4"/>
  <c r="A577" i="4"/>
  <c r="G576" i="4"/>
  <c r="F576" i="4"/>
  <c r="D576" i="4"/>
  <c r="E576" i="4" s="1"/>
  <c r="C576" i="4"/>
  <c r="B576" i="4"/>
  <c r="A576" i="4"/>
  <c r="G575" i="4"/>
  <c r="F575" i="4"/>
  <c r="D575" i="4"/>
  <c r="E575" i="4" s="1"/>
  <c r="C575" i="4"/>
  <c r="B575" i="4"/>
  <c r="A575" i="4"/>
  <c r="G574" i="4"/>
  <c r="F574" i="4"/>
  <c r="D574" i="4"/>
  <c r="E574" i="4" s="1"/>
  <c r="C574" i="4"/>
  <c r="B574" i="4"/>
  <c r="A574" i="4"/>
  <c r="G573" i="4"/>
  <c r="F573" i="4"/>
  <c r="D573" i="4"/>
  <c r="E573" i="4" s="1"/>
  <c r="C573" i="4"/>
  <c r="B573" i="4"/>
  <c r="A573" i="4"/>
  <c r="G572" i="4"/>
  <c r="F572" i="4"/>
  <c r="D572" i="4"/>
  <c r="E572" i="4" s="1"/>
  <c r="C572" i="4"/>
  <c r="B572" i="4"/>
  <c r="A572" i="4"/>
  <c r="G571" i="4"/>
  <c r="F571" i="4"/>
  <c r="D571" i="4"/>
  <c r="E571" i="4" s="1"/>
  <c r="C571" i="4"/>
  <c r="B571" i="4"/>
  <c r="A571" i="4"/>
  <c r="G570" i="4"/>
  <c r="F570" i="4"/>
  <c r="D570" i="4"/>
  <c r="E570" i="4" s="1"/>
  <c r="C570" i="4"/>
  <c r="B570" i="4"/>
  <c r="A570" i="4"/>
  <c r="G569" i="4"/>
  <c r="F569" i="4"/>
  <c r="D569" i="4"/>
  <c r="E569" i="4" s="1"/>
  <c r="C569" i="4"/>
  <c r="B569" i="4"/>
  <c r="A569" i="4"/>
  <c r="G568" i="4"/>
  <c r="F568" i="4"/>
  <c r="D568" i="4"/>
  <c r="E568" i="4" s="1"/>
  <c r="C568" i="4"/>
  <c r="B568" i="4"/>
  <c r="A568" i="4"/>
  <c r="G567" i="4"/>
  <c r="F567" i="4"/>
  <c r="D567" i="4"/>
  <c r="E567" i="4" s="1"/>
  <c r="C567" i="4"/>
  <c r="B567" i="4"/>
  <c r="A567" i="4"/>
  <c r="G566" i="4"/>
  <c r="F566" i="4"/>
  <c r="D566" i="4"/>
  <c r="E566" i="4" s="1"/>
  <c r="C566" i="4"/>
  <c r="B566" i="4"/>
  <c r="A566" i="4"/>
  <c r="G565" i="4"/>
  <c r="F565" i="4"/>
  <c r="D565" i="4"/>
  <c r="E565" i="4" s="1"/>
  <c r="C565" i="4"/>
  <c r="B565" i="4"/>
  <c r="A565" i="4"/>
  <c r="G564" i="4"/>
  <c r="F564" i="4"/>
  <c r="D564" i="4"/>
  <c r="E564" i="4" s="1"/>
  <c r="C564" i="4"/>
  <c r="B564" i="4"/>
  <c r="A564" i="4"/>
  <c r="G563" i="4"/>
  <c r="F563" i="4"/>
  <c r="D563" i="4"/>
  <c r="E563" i="4" s="1"/>
  <c r="C563" i="4"/>
  <c r="B563" i="4"/>
  <c r="A563" i="4"/>
  <c r="G562" i="4"/>
  <c r="F562" i="4"/>
  <c r="D562" i="4"/>
  <c r="E562" i="4" s="1"/>
  <c r="C562" i="4"/>
  <c r="B562" i="4"/>
  <c r="A562" i="4"/>
  <c r="G561" i="4"/>
  <c r="F561" i="4"/>
  <c r="D561" i="4"/>
  <c r="E561" i="4" s="1"/>
  <c r="C561" i="4"/>
  <c r="B561" i="4"/>
  <c r="A561" i="4"/>
  <c r="G560" i="4"/>
  <c r="F560" i="4"/>
  <c r="D560" i="4"/>
  <c r="E560" i="4" s="1"/>
  <c r="C560" i="4"/>
  <c r="B560" i="4"/>
  <c r="A560" i="4"/>
  <c r="G559" i="4"/>
  <c r="F559" i="4"/>
  <c r="D559" i="4"/>
  <c r="E559" i="4" s="1"/>
  <c r="C559" i="4"/>
  <c r="B559" i="4"/>
  <c r="A559" i="4"/>
  <c r="G558" i="4"/>
  <c r="F558" i="4"/>
  <c r="D558" i="4"/>
  <c r="E558" i="4" s="1"/>
  <c r="C558" i="4"/>
  <c r="B558" i="4"/>
  <c r="A558" i="4"/>
  <c r="G557" i="4"/>
  <c r="F557" i="4"/>
  <c r="D557" i="4"/>
  <c r="E557" i="4" s="1"/>
  <c r="C557" i="4"/>
  <c r="B557" i="4"/>
  <c r="A557" i="4"/>
  <c r="G556" i="4"/>
  <c r="F556" i="4"/>
  <c r="D556" i="4"/>
  <c r="E556" i="4" s="1"/>
  <c r="C556" i="4"/>
  <c r="B556" i="4"/>
  <c r="A556" i="4"/>
  <c r="G555" i="4"/>
  <c r="F555" i="4"/>
  <c r="D555" i="4"/>
  <c r="E555" i="4" s="1"/>
  <c r="C555" i="4"/>
  <c r="B555" i="4"/>
  <c r="A555" i="4"/>
  <c r="G554" i="4"/>
  <c r="F554" i="4"/>
  <c r="D554" i="4"/>
  <c r="E554" i="4" s="1"/>
  <c r="C554" i="4"/>
  <c r="B554" i="4"/>
  <c r="A554" i="4"/>
  <c r="G553" i="4"/>
  <c r="F553" i="4"/>
  <c r="D553" i="4"/>
  <c r="E553" i="4" s="1"/>
  <c r="C553" i="4"/>
  <c r="B553" i="4"/>
  <c r="A553" i="4"/>
  <c r="G552" i="4"/>
  <c r="F552" i="4"/>
  <c r="D552" i="4"/>
  <c r="E552" i="4" s="1"/>
  <c r="C552" i="4"/>
  <c r="B552" i="4"/>
  <c r="A552" i="4"/>
  <c r="G551" i="4"/>
  <c r="F551" i="4"/>
  <c r="D551" i="4"/>
  <c r="E551" i="4" s="1"/>
  <c r="C551" i="4"/>
  <c r="B551" i="4"/>
  <c r="A551" i="4"/>
  <c r="G550" i="4"/>
  <c r="F550" i="4"/>
  <c r="D550" i="4"/>
  <c r="E550" i="4" s="1"/>
  <c r="C550" i="4"/>
  <c r="B550" i="4"/>
  <c r="A550" i="4"/>
  <c r="G549" i="4"/>
  <c r="F549" i="4"/>
  <c r="D549" i="4"/>
  <c r="E549" i="4" s="1"/>
  <c r="C549" i="4"/>
  <c r="B549" i="4"/>
  <c r="A549" i="4"/>
  <c r="G548" i="4"/>
  <c r="F548" i="4"/>
  <c r="D548" i="4"/>
  <c r="E548" i="4" s="1"/>
  <c r="C548" i="4"/>
  <c r="B548" i="4"/>
  <c r="A548" i="4"/>
  <c r="G547" i="4"/>
  <c r="F547" i="4"/>
  <c r="D547" i="4"/>
  <c r="E547" i="4" s="1"/>
  <c r="C547" i="4"/>
  <c r="B547" i="4"/>
  <c r="A547" i="4"/>
  <c r="G546" i="4"/>
  <c r="F546" i="4"/>
  <c r="D546" i="4"/>
  <c r="E546" i="4" s="1"/>
  <c r="C546" i="4"/>
  <c r="B546" i="4"/>
  <c r="A546" i="4"/>
  <c r="G545" i="4"/>
  <c r="F545" i="4"/>
  <c r="D545" i="4"/>
  <c r="E545" i="4" s="1"/>
  <c r="C545" i="4"/>
  <c r="B545" i="4"/>
  <c r="A545" i="4"/>
  <c r="G544" i="4"/>
  <c r="F544" i="4"/>
  <c r="D544" i="4"/>
  <c r="E544" i="4" s="1"/>
  <c r="C544" i="4"/>
  <c r="B544" i="4"/>
  <c r="A544" i="4"/>
  <c r="G543" i="4"/>
  <c r="F543" i="4"/>
  <c r="D543" i="4"/>
  <c r="E543" i="4" s="1"/>
  <c r="C543" i="4"/>
  <c r="B543" i="4"/>
  <c r="A543" i="4"/>
  <c r="G542" i="4"/>
  <c r="F542" i="4"/>
  <c r="D542" i="4"/>
  <c r="E542" i="4" s="1"/>
  <c r="C542" i="4"/>
  <c r="B542" i="4"/>
  <c r="A542" i="4"/>
  <c r="G541" i="4"/>
  <c r="F541" i="4"/>
  <c r="D541" i="4"/>
  <c r="E541" i="4" s="1"/>
  <c r="C541" i="4"/>
  <c r="B541" i="4"/>
  <c r="A541" i="4"/>
  <c r="G540" i="4"/>
  <c r="F540" i="4"/>
  <c r="D540" i="4"/>
  <c r="E540" i="4" s="1"/>
  <c r="C540" i="4"/>
  <c r="B540" i="4"/>
  <c r="A540" i="4"/>
  <c r="G539" i="4"/>
  <c r="F539" i="4"/>
  <c r="D539" i="4"/>
  <c r="E539" i="4" s="1"/>
  <c r="C539" i="4"/>
  <c r="B539" i="4"/>
  <c r="A539" i="4"/>
  <c r="G538" i="4"/>
  <c r="F538" i="4"/>
  <c r="D538" i="4"/>
  <c r="E538" i="4" s="1"/>
  <c r="C538" i="4"/>
  <c r="B538" i="4"/>
  <c r="A538" i="4"/>
  <c r="G537" i="4"/>
  <c r="F537" i="4"/>
  <c r="D537" i="4"/>
  <c r="E537" i="4" s="1"/>
  <c r="C537" i="4"/>
  <c r="B537" i="4"/>
  <c r="A537" i="4"/>
  <c r="G536" i="4"/>
  <c r="F536" i="4"/>
  <c r="D536" i="4"/>
  <c r="E536" i="4" s="1"/>
  <c r="C536" i="4"/>
  <c r="B536" i="4"/>
  <c r="A536" i="4"/>
  <c r="G535" i="4"/>
  <c r="F535" i="4"/>
  <c r="D535" i="4"/>
  <c r="E535" i="4" s="1"/>
  <c r="C535" i="4"/>
  <c r="B535" i="4"/>
  <c r="A535" i="4"/>
  <c r="G534" i="4"/>
  <c r="F534" i="4"/>
  <c r="D534" i="4"/>
  <c r="E534" i="4" s="1"/>
  <c r="C534" i="4"/>
  <c r="B534" i="4"/>
  <c r="A534" i="4"/>
  <c r="G533" i="4"/>
  <c r="F533" i="4"/>
  <c r="D533" i="4"/>
  <c r="E533" i="4" s="1"/>
  <c r="C533" i="4"/>
  <c r="B533" i="4"/>
  <c r="A533" i="4"/>
  <c r="G532" i="4"/>
  <c r="F532" i="4"/>
  <c r="D532" i="4"/>
  <c r="E532" i="4" s="1"/>
  <c r="C532" i="4"/>
  <c r="B532" i="4"/>
  <c r="A532" i="4"/>
  <c r="G531" i="4"/>
  <c r="F531" i="4"/>
  <c r="D531" i="4"/>
  <c r="E531" i="4" s="1"/>
  <c r="C531" i="4"/>
  <c r="B531" i="4"/>
  <c r="A531" i="4"/>
  <c r="G530" i="4"/>
  <c r="F530" i="4"/>
  <c r="D530" i="4"/>
  <c r="E530" i="4" s="1"/>
  <c r="C530" i="4"/>
  <c r="B530" i="4"/>
  <c r="A530" i="4"/>
  <c r="G529" i="4"/>
  <c r="F529" i="4"/>
  <c r="D529" i="4"/>
  <c r="E529" i="4" s="1"/>
  <c r="C529" i="4"/>
  <c r="B529" i="4"/>
  <c r="A529" i="4"/>
  <c r="G528" i="4"/>
  <c r="F528" i="4"/>
  <c r="D528" i="4"/>
  <c r="E528" i="4" s="1"/>
  <c r="C528" i="4"/>
  <c r="B528" i="4"/>
  <c r="A528" i="4"/>
  <c r="G527" i="4"/>
  <c r="F527" i="4"/>
  <c r="D527" i="4"/>
  <c r="E527" i="4" s="1"/>
  <c r="C527" i="4"/>
  <c r="B527" i="4"/>
  <c r="A527" i="4"/>
  <c r="G526" i="4"/>
  <c r="F526" i="4"/>
  <c r="D526" i="4"/>
  <c r="E526" i="4" s="1"/>
  <c r="C526" i="4"/>
  <c r="B526" i="4"/>
  <c r="A526" i="4"/>
  <c r="G525" i="4"/>
  <c r="F525" i="4"/>
  <c r="D525" i="4"/>
  <c r="E525" i="4" s="1"/>
  <c r="C525" i="4"/>
  <c r="B525" i="4"/>
  <c r="A525" i="4"/>
  <c r="G524" i="4"/>
  <c r="F524" i="4"/>
  <c r="D524" i="4"/>
  <c r="E524" i="4" s="1"/>
  <c r="C524" i="4"/>
  <c r="B524" i="4"/>
  <c r="A524" i="4"/>
  <c r="G523" i="4"/>
  <c r="F523" i="4"/>
  <c r="D523" i="4"/>
  <c r="E523" i="4" s="1"/>
  <c r="C523" i="4"/>
  <c r="B523" i="4"/>
  <c r="A523" i="4"/>
  <c r="G522" i="4"/>
  <c r="F522" i="4"/>
  <c r="D522" i="4"/>
  <c r="E522" i="4" s="1"/>
  <c r="C522" i="4"/>
  <c r="B522" i="4"/>
  <c r="A522" i="4"/>
  <c r="G521" i="4"/>
  <c r="F521" i="4"/>
  <c r="D521" i="4"/>
  <c r="E521" i="4" s="1"/>
  <c r="C521" i="4"/>
  <c r="B521" i="4"/>
  <c r="A521" i="4"/>
  <c r="G520" i="4"/>
  <c r="F520" i="4"/>
  <c r="D520" i="4"/>
  <c r="E520" i="4" s="1"/>
  <c r="C520" i="4"/>
  <c r="B520" i="4"/>
  <c r="A520" i="4"/>
  <c r="G519" i="4"/>
  <c r="F519" i="4"/>
  <c r="D519" i="4"/>
  <c r="E519" i="4" s="1"/>
  <c r="C519" i="4"/>
  <c r="B519" i="4"/>
  <c r="A519" i="4"/>
  <c r="G518" i="4"/>
  <c r="F518" i="4"/>
  <c r="D518" i="4"/>
  <c r="E518" i="4" s="1"/>
  <c r="C518" i="4"/>
  <c r="B518" i="4"/>
  <c r="A518" i="4"/>
  <c r="G517" i="4"/>
  <c r="F517" i="4"/>
  <c r="D517" i="4"/>
  <c r="E517" i="4" s="1"/>
  <c r="C517" i="4"/>
  <c r="B517" i="4"/>
  <c r="A517" i="4"/>
  <c r="G516" i="4"/>
  <c r="F516" i="4"/>
  <c r="D516" i="4"/>
  <c r="E516" i="4" s="1"/>
  <c r="C516" i="4"/>
  <c r="B516" i="4"/>
  <c r="A516" i="4"/>
  <c r="G515" i="4"/>
  <c r="F515" i="4"/>
  <c r="D515" i="4"/>
  <c r="E515" i="4" s="1"/>
  <c r="C515" i="4"/>
  <c r="B515" i="4"/>
  <c r="A515" i="4"/>
  <c r="G514" i="4"/>
  <c r="F514" i="4"/>
  <c r="D514" i="4"/>
  <c r="E514" i="4" s="1"/>
  <c r="C514" i="4"/>
  <c r="B514" i="4"/>
  <c r="A514" i="4"/>
  <c r="G513" i="4"/>
  <c r="F513" i="4"/>
  <c r="D513" i="4"/>
  <c r="E513" i="4" s="1"/>
  <c r="C513" i="4"/>
  <c r="B513" i="4"/>
  <c r="A513" i="4"/>
  <c r="G512" i="4"/>
  <c r="F512" i="4"/>
  <c r="D512" i="4"/>
  <c r="E512" i="4" s="1"/>
  <c r="C512" i="4"/>
  <c r="B512" i="4"/>
  <c r="A512" i="4"/>
  <c r="G511" i="4"/>
  <c r="F511" i="4"/>
  <c r="D511" i="4"/>
  <c r="E511" i="4" s="1"/>
  <c r="C511" i="4"/>
  <c r="B511" i="4"/>
  <c r="A511" i="4"/>
  <c r="G510" i="4"/>
  <c r="F510" i="4"/>
  <c r="D510" i="4"/>
  <c r="E510" i="4" s="1"/>
  <c r="C510" i="4"/>
  <c r="B510" i="4"/>
  <c r="A510" i="4"/>
  <c r="G509" i="4"/>
  <c r="F509" i="4"/>
  <c r="D509" i="4"/>
  <c r="E509" i="4" s="1"/>
  <c r="C509" i="4"/>
  <c r="B509" i="4"/>
  <c r="A509" i="4"/>
  <c r="G508" i="4"/>
  <c r="F508" i="4"/>
  <c r="D508" i="4"/>
  <c r="E508" i="4" s="1"/>
  <c r="C508" i="4"/>
  <c r="B508" i="4"/>
  <c r="A508" i="4"/>
  <c r="G507" i="4"/>
  <c r="F507" i="4"/>
  <c r="D507" i="4"/>
  <c r="E507" i="4" s="1"/>
  <c r="C507" i="4"/>
  <c r="B507" i="4"/>
  <c r="A507" i="4"/>
  <c r="G506" i="4"/>
  <c r="F506" i="4"/>
  <c r="D506" i="4"/>
  <c r="E506" i="4" s="1"/>
  <c r="C506" i="4"/>
  <c r="B506" i="4"/>
  <c r="A506" i="4"/>
  <c r="G505" i="4"/>
  <c r="F505" i="4"/>
  <c r="D505" i="4"/>
  <c r="E505" i="4" s="1"/>
  <c r="C505" i="4"/>
  <c r="B505" i="4"/>
  <c r="A505" i="4"/>
  <c r="G504" i="4"/>
  <c r="F504" i="4"/>
  <c r="D504" i="4"/>
  <c r="E504" i="4" s="1"/>
  <c r="C504" i="4"/>
  <c r="B504" i="4"/>
  <c r="A504" i="4"/>
  <c r="G503" i="4"/>
  <c r="F503" i="4"/>
  <c r="D503" i="4"/>
  <c r="E503" i="4" s="1"/>
  <c r="C503" i="4"/>
  <c r="B503" i="4"/>
  <c r="A503" i="4"/>
  <c r="G502" i="4"/>
  <c r="F502" i="4"/>
  <c r="D502" i="4"/>
  <c r="E502" i="4" s="1"/>
  <c r="C502" i="4"/>
  <c r="B502" i="4"/>
  <c r="A502" i="4"/>
  <c r="G501" i="4"/>
  <c r="F501" i="4"/>
  <c r="D501" i="4"/>
  <c r="E501" i="4" s="1"/>
  <c r="C501" i="4"/>
  <c r="B501" i="4"/>
  <c r="A501" i="4"/>
  <c r="G500" i="4"/>
  <c r="F500" i="4"/>
  <c r="D500" i="4"/>
  <c r="E500" i="4" s="1"/>
  <c r="C500" i="4"/>
  <c r="B500" i="4"/>
  <c r="A500" i="4"/>
  <c r="G499" i="4"/>
  <c r="F499" i="4"/>
  <c r="D499" i="4"/>
  <c r="E499" i="4" s="1"/>
  <c r="C499" i="4"/>
  <c r="B499" i="4"/>
  <c r="A499" i="4"/>
  <c r="G498" i="4"/>
  <c r="F498" i="4"/>
  <c r="D498" i="4"/>
  <c r="E498" i="4" s="1"/>
  <c r="C498" i="4"/>
  <c r="B498" i="4"/>
  <c r="A498" i="4"/>
  <c r="G497" i="4"/>
  <c r="F497" i="4"/>
  <c r="D497" i="4"/>
  <c r="E497" i="4" s="1"/>
  <c r="C497" i="4"/>
  <c r="B497" i="4"/>
  <c r="A497" i="4"/>
  <c r="G496" i="4"/>
  <c r="F496" i="4"/>
  <c r="D496" i="4"/>
  <c r="E496" i="4" s="1"/>
  <c r="C496" i="4"/>
  <c r="B496" i="4"/>
  <c r="A496" i="4"/>
  <c r="G495" i="4"/>
  <c r="F495" i="4"/>
  <c r="D495" i="4"/>
  <c r="E495" i="4" s="1"/>
  <c r="C495" i="4"/>
  <c r="B495" i="4"/>
  <c r="A495" i="4"/>
  <c r="G494" i="4"/>
  <c r="F494" i="4"/>
  <c r="D494" i="4"/>
  <c r="E494" i="4" s="1"/>
  <c r="C494" i="4"/>
  <c r="B494" i="4"/>
  <c r="A494" i="4"/>
  <c r="G493" i="4"/>
  <c r="F493" i="4"/>
  <c r="D493" i="4"/>
  <c r="E493" i="4" s="1"/>
  <c r="C493" i="4"/>
  <c r="B493" i="4"/>
  <c r="A493" i="4"/>
  <c r="G492" i="4"/>
  <c r="F492" i="4"/>
  <c r="D492" i="4"/>
  <c r="E492" i="4" s="1"/>
  <c r="C492" i="4"/>
  <c r="B492" i="4"/>
  <c r="A492" i="4"/>
  <c r="G491" i="4"/>
  <c r="F491" i="4"/>
  <c r="D491" i="4"/>
  <c r="E491" i="4" s="1"/>
  <c r="C491" i="4"/>
  <c r="B491" i="4"/>
  <c r="A491" i="4"/>
  <c r="G490" i="4"/>
  <c r="F490" i="4"/>
  <c r="D490" i="4"/>
  <c r="E490" i="4" s="1"/>
  <c r="C490" i="4"/>
  <c r="B490" i="4"/>
  <c r="A490" i="4"/>
  <c r="G489" i="4"/>
  <c r="F489" i="4"/>
  <c r="D489" i="4"/>
  <c r="E489" i="4" s="1"/>
  <c r="C489" i="4"/>
  <c r="B489" i="4"/>
  <c r="A489" i="4"/>
  <c r="G488" i="4"/>
  <c r="F488" i="4"/>
  <c r="D488" i="4"/>
  <c r="E488" i="4" s="1"/>
  <c r="C488" i="4"/>
  <c r="B488" i="4"/>
  <c r="A488" i="4"/>
  <c r="G487" i="4"/>
  <c r="F487" i="4"/>
  <c r="D487" i="4"/>
  <c r="E487" i="4" s="1"/>
  <c r="C487" i="4"/>
  <c r="B487" i="4"/>
  <c r="A487" i="4"/>
  <c r="G486" i="4"/>
  <c r="F486" i="4"/>
  <c r="D486" i="4"/>
  <c r="E486" i="4" s="1"/>
  <c r="C486" i="4"/>
  <c r="B486" i="4"/>
  <c r="A486" i="4"/>
  <c r="G485" i="4"/>
  <c r="F485" i="4"/>
  <c r="D485" i="4"/>
  <c r="E485" i="4" s="1"/>
  <c r="C485" i="4"/>
  <c r="B485" i="4"/>
  <c r="A485" i="4"/>
  <c r="G484" i="4"/>
  <c r="F484" i="4"/>
  <c r="D484" i="4"/>
  <c r="E484" i="4" s="1"/>
  <c r="C484" i="4"/>
  <c r="B484" i="4"/>
  <c r="A484" i="4"/>
  <c r="G483" i="4"/>
  <c r="F483" i="4"/>
  <c r="D483" i="4"/>
  <c r="E483" i="4" s="1"/>
  <c r="C483" i="4"/>
  <c r="B483" i="4"/>
  <c r="A483" i="4"/>
  <c r="G482" i="4"/>
  <c r="F482" i="4"/>
  <c r="D482" i="4"/>
  <c r="E482" i="4" s="1"/>
  <c r="C482" i="4"/>
  <c r="B482" i="4"/>
  <c r="A482" i="4"/>
  <c r="G481" i="4"/>
  <c r="F481" i="4"/>
  <c r="D481" i="4"/>
  <c r="E481" i="4" s="1"/>
  <c r="C481" i="4"/>
  <c r="B481" i="4"/>
  <c r="A481" i="4"/>
  <c r="G480" i="4"/>
  <c r="F480" i="4"/>
  <c r="D480" i="4"/>
  <c r="E480" i="4" s="1"/>
  <c r="C480" i="4"/>
  <c r="B480" i="4"/>
  <c r="A480" i="4"/>
  <c r="G479" i="4"/>
  <c r="F479" i="4"/>
  <c r="D479" i="4"/>
  <c r="E479" i="4" s="1"/>
  <c r="C479" i="4"/>
  <c r="B479" i="4"/>
  <c r="A479" i="4"/>
  <c r="G478" i="4"/>
  <c r="F478" i="4"/>
  <c r="D478" i="4"/>
  <c r="E478" i="4" s="1"/>
  <c r="C478" i="4"/>
  <c r="B478" i="4"/>
  <c r="A478" i="4"/>
  <c r="G477" i="4"/>
  <c r="F477" i="4"/>
  <c r="D477" i="4"/>
  <c r="E477" i="4" s="1"/>
  <c r="C477" i="4"/>
  <c r="B477" i="4"/>
  <c r="A477" i="4"/>
  <c r="G476" i="4"/>
  <c r="F476" i="4"/>
  <c r="D476" i="4"/>
  <c r="E476" i="4" s="1"/>
  <c r="C476" i="4"/>
  <c r="B476" i="4"/>
  <c r="A476" i="4"/>
  <c r="G475" i="4"/>
  <c r="F475" i="4"/>
  <c r="D475" i="4"/>
  <c r="E475" i="4" s="1"/>
  <c r="C475" i="4"/>
  <c r="B475" i="4"/>
  <c r="A475" i="4"/>
  <c r="G474" i="4"/>
  <c r="F474" i="4"/>
  <c r="D474" i="4"/>
  <c r="E474" i="4" s="1"/>
  <c r="C474" i="4"/>
  <c r="B474" i="4"/>
  <c r="A474" i="4"/>
  <c r="G473" i="4"/>
  <c r="F473" i="4"/>
  <c r="D473" i="4"/>
  <c r="E473" i="4" s="1"/>
  <c r="C473" i="4"/>
  <c r="B473" i="4"/>
  <c r="A473" i="4"/>
  <c r="G472" i="4"/>
  <c r="F472" i="4"/>
  <c r="D472" i="4"/>
  <c r="E472" i="4" s="1"/>
  <c r="C472" i="4"/>
  <c r="B472" i="4"/>
  <c r="A472" i="4"/>
  <c r="G471" i="4"/>
  <c r="F471" i="4"/>
  <c r="D471" i="4"/>
  <c r="E471" i="4" s="1"/>
  <c r="C471" i="4"/>
  <c r="B471" i="4"/>
  <c r="A471" i="4"/>
  <c r="G470" i="4"/>
  <c r="F470" i="4"/>
  <c r="D470" i="4"/>
  <c r="E470" i="4" s="1"/>
  <c r="C470" i="4"/>
  <c r="B470" i="4"/>
  <c r="A470" i="4"/>
  <c r="G469" i="4"/>
  <c r="F469" i="4"/>
  <c r="D469" i="4"/>
  <c r="E469" i="4" s="1"/>
  <c r="C469" i="4"/>
  <c r="B469" i="4"/>
  <c r="A469" i="4"/>
  <c r="G468" i="4"/>
  <c r="F468" i="4"/>
  <c r="D468" i="4"/>
  <c r="E468" i="4" s="1"/>
  <c r="C468" i="4"/>
  <c r="B468" i="4"/>
  <c r="A468" i="4"/>
  <c r="G467" i="4"/>
  <c r="F467" i="4"/>
  <c r="D467" i="4"/>
  <c r="E467" i="4" s="1"/>
  <c r="C467" i="4"/>
  <c r="B467" i="4"/>
  <c r="A467" i="4"/>
  <c r="G466" i="4"/>
  <c r="F466" i="4"/>
  <c r="D466" i="4"/>
  <c r="E466" i="4" s="1"/>
  <c r="C466" i="4"/>
  <c r="B466" i="4"/>
  <c r="A466" i="4"/>
  <c r="G465" i="4"/>
  <c r="F465" i="4"/>
  <c r="D465" i="4"/>
  <c r="E465" i="4" s="1"/>
  <c r="C465" i="4"/>
  <c r="B465" i="4"/>
  <c r="A465" i="4"/>
  <c r="G464" i="4"/>
  <c r="F464" i="4"/>
  <c r="D464" i="4"/>
  <c r="E464" i="4" s="1"/>
  <c r="C464" i="4"/>
  <c r="B464" i="4"/>
  <c r="A464" i="4"/>
  <c r="G463" i="4"/>
  <c r="F463" i="4"/>
  <c r="D463" i="4"/>
  <c r="E463" i="4" s="1"/>
  <c r="C463" i="4"/>
  <c r="B463" i="4"/>
  <c r="A463" i="4"/>
  <c r="G462" i="4"/>
  <c r="F462" i="4"/>
  <c r="D462" i="4"/>
  <c r="E462" i="4" s="1"/>
  <c r="C462" i="4"/>
  <c r="B462" i="4"/>
  <c r="A462" i="4"/>
  <c r="G461" i="4"/>
  <c r="F461" i="4"/>
  <c r="D461" i="4"/>
  <c r="E461" i="4" s="1"/>
  <c r="C461" i="4"/>
  <c r="B461" i="4"/>
  <c r="A461" i="4"/>
  <c r="G460" i="4"/>
  <c r="F460" i="4"/>
  <c r="D460" i="4"/>
  <c r="E460" i="4" s="1"/>
  <c r="C460" i="4"/>
  <c r="B460" i="4"/>
  <c r="A460" i="4"/>
  <c r="G459" i="4"/>
  <c r="F459" i="4"/>
  <c r="D459" i="4"/>
  <c r="E459" i="4" s="1"/>
  <c r="C459" i="4"/>
  <c r="B459" i="4"/>
  <c r="A459" i="4"/>
  <c r="G458" i="4"/>
  <c r="F458" i="4"/>
  <c r="D458" i="4"/>
  <c r="E458" i="4" s="1"/>
  <c r="C458" i="4"/>
  <c r="B458" i="4"/>
  <c r="A458" i="4"/>
  <c r="G457" i="4"/>
  <c r="F457" i="4"/>
  <c r="D457" i="4"/>
  <c r="E457" i="4" s="1"/>
  <c r="C457" i="4"/>
  <c r="B457" i="4"/>
  <c r="A457" i="4"/>
  <c r="G456" i="4"/>
  <c r="F456" i="4"/>
  <c r="D456" i="4"/>
  <c r="E456" i="4" s="1"/>
  <c r="C456" i="4"/>
  <c r="B456" i="4"/>
  <c r="A456" i="4"/>
  <c r="G455" i="4"/>
  <c r="F455" i="4"/>
  <c r="D455" i="4"/>
  <c r="E455" i="4" s="1"/>
  <c r="C455" i="4"/>
  <c r="B455" i="4"/>
  <c r="A455" i="4"/>
  <c r="G454" i="4"/>
  <c r="F454" i="4"/>
  <c r="D454" i="4"/>
  <c r="E454" i="4" s="1"/>
  <c r="C454" i="4"/>
  <c r="B454" i="4"/>
  <c r="A454" i="4"/>
  <c r="G453" i="4"/>
  <c r="F453" i="4"/>
  <c r="D453" i="4"/>
  <c r="E453" i="4" s="1"/>
  <c r="C453" i="4"/>
  <c r="B453" i="4"/>
  <c r="A453" i="4"/>
  <c r="G452" i="4"/>
  <c r="F452" i="4"/>
  <c r="D452" i="4"/>
  <c r="E452" i="4" s="1"/>
  <c r="C452" i="4"/>
  <c r="B452" i="4"/>
  <c r="A452" i="4"/>
  <c r="G451" i="4"/>
  <c r="F451" i="4"/>
  <c r="D451" i="4"/>
  <c r="E451" i="4" s="1"/>
  <c r="C451" i="4"/>
  <c r="B451" i="4"/>
  <c r="A451" i="4"/>
  <c r="G450" i="4"/>
  <c r="F450" i="4"/>
  <c r="D450" i="4"/>
  <c r="E450" i="4" s="1"/>
  <c r="C450" i="4"/>
  <c r="B450" i="4"/>
  <c r="A450" i="4"/>
  <c r="G449" i="4"/>
  <c r="F449" i="4"/>
  <c r="D449" i="4"/>
  <c r="E449" i="4" s="1"/>
  <c r="C449" i="4"/>
  <c r="B449" i="4"/>
  <c r="A449" i="4"/>
  <c r="G448" i="4"/>
  <c r="F448" i="4"/>
  <c r="D448" i="4"/>
  <c r="E448" i="4" s="1"/>
  <c r="C448" i="4"/>
  <c r="B448" i="4"/>
  <c r="A448" i="4"/>
  <c r="G447" i="4"/>
  <c r="F447" i="4"/>
  <c r="D447" i="4"/>
  <c r="E447" i="4" s="1"/>
  <c r="C447" i="4"/>
  <c r="B447" i="4"/>
  <c r="A447" i="4"/>
  <c r="G446" i="4"/>
  <c r="F446" i="4"/>
  <c r="D446" i="4"/>
  <c r="E446" i="4" s="1"/>
  <c r="C446" i="4"/>
  <c r="B446" i="4"/>
  <c r="A446" i="4"/>
  <c r="G445" i="4"/>
  <c r="F445" i="4"/>
  <c r="D445" i="4"/>
  <c r="E445" i="4" s="1"/>
  <c r="C445" i="4"/>
  <c r="B445" i="4"/>
  <c r="A445" i="4"/>
  <c r="G444" i="4"/>
  <c r="F444" i="4"/>
  <c r="D444" i="4"/>
  <c r="E444" i="4" s="1"/>
  <c r="C444" i="4"/>
  <c r="B444" i="4"/>
  <c r="A444" i="4"/>
  <c r="G443" i="4"/>
  <c r="F443" i="4"/>
  <c r="D443" i="4"/>
  <c r="E443" i="4" s="1"/>
  <c r="C443" i="4"/>
  <c r="B443" i="4"/>
  <c r="A443" i="4"/>
  <c r="G442" i="4"/>
  <c r="F442" i="4"/>
  <c r="D442" i="4"/>
  <c r="E442" i="4" s="1"/>
  <c r="C442" i="4"/>
  <c r="B442" i="4"/>
  <c r="A442" i="4"/>
  <c r="G441" i="4"/>
  <c r="F441" i="4"/>
  <c r="D441" i="4"/>
  <c r="E441" i="4" s="1"/>
  <c r="C441" i="4"/>
  <c r="B441" i="4"/>
  <c r="A441" i="4"/>
  <c r="G440" i="4"/>
  <c r="F440" i="4"/>
  <c r="D440" i="4"/>
  <c r="E440" i="4" s="1"/>
  <c r="C440" i="4"/>
  <c r="B440" i="4"/>
  <c r="A440" i="4"/>
  <c r="G439" i="4"/>
  <c r="F439" i="4"/>
  <c r="D439" i="4"/>
  <c r="E439" i="4" s="1"/>
  <c r="C439" i="4"/>
  <c r="B439" i="4"/>
  <c r="A439" i="4"/>
  <c r="G438" i="4"/>
  <c r="F438" i="4"/>
  <c r="D438" i="4"/>
  <c r="E438" i="4" s="1"/>
  <c r="C438" i="4"/>
  <c r="B438" i="4"/>
  <c r="A438" i="4"/>
  <c r="G437" i="4"/>
  <c r="F437" i="4"/>
  <c r="D437" i="4"/>
  <c r="E437" i="4" s="1"/>
  <c r="C437" i="4"/>
  <c r="B437" i="4"/>
  <c r="A437" i="4"/>
  <c r="G436" i="4"/>
  <c r="F436" i="4"/>
  <c r="D436" i="4"/>
  <c r="E436" i="4" s="1"/>
  <c r="C436" i="4"/>
  <c r="B436" i="4"/>
  <c r="A436" i="4"/>
  <c r="G435" i="4"/>
  <c r="F435" i="4"/>
  <c r="E435" i="4"/>
  <c r="D435" i="4"/>
  <c r="C435" i="4"/>
  <c r="B435" i="4"/>
  <c r="A435" i="4"/>
  <c r="G434" i="4"/>
  <c r="F434" i="4"/>
  <c r="D434" i="4"/>
  <c r="E434" i="4" s="1"/>
  <c r="C434" i="4"/>
  <c r="B434" i="4"/>
  <c r="A434" i="4"/>
  <c r="G433" i="4"/>
  <c r="F433" i="4"/>
  <c r="D433" i="4"/>
  <c r="E433" i="4" s="1"/>
  <c r="C433" i="4"/>
  <c r="B433" i="4"/>
  <c r="A433" i="4"/>
  <c r="G432" i="4"/>
  <c r="F432" i="4"/>
  <c r="D432" i="4"/>
  <c r="E432" i="4" s="1"/>
  <c r="C432" i="4"/>
  <c r="B432" i="4"/>
  <c r="A432" i="4"/>
  <c r="G431" i="4"/>
  <c r="F431" i="4"/>
  <c r="D431" i="4"/>
  <c r="E431" i="4" s="1"/>
  <c r="C431" i="4"/>
  <c r="B431" i="4"/>
  <c r="A431" i="4"/>
  <c r="G430" i="4"/>
  <c r="F430" i="4"/>
  <c r="D430" i="4"/>
  <c r="E430" i="4" s="1"/>
  <c r="C430" i="4"/>
  <c r="B430" i="4"/>
  <c r="A430" i="4"/>
  <c r="G429" i="4"/>
  <c r="F429" i="4"/>
  <c r="D429" i="4"/>
  <c r="E429" i="4" s="1"/>
  <c r="C429" i="4"/>
  <c r="B429" i="4"/>
  <c r="A429" i="4"/>
  <c r="G428" i="4"/>
  <c r="F428" i="4"/>
  <c r="D428" i="4"/>
  <c r="E428" i="4" s="1"/>
  <c r="C428" i="4"/>
  <c r="B428" i="4"/>
  <c r="A428" i="4"/>
  <c r="G427" i="4"/>
  <c r="F427" i="4"/>
  <c r="D427" i="4"/>
  <c r="E427" i="4" s="1"/>
  <c r="C427" i="4"/>
  <c r="B427" i="4"/>
  <c r="A427" i="4"/>
  <c r="G426" i="4"/>
  <c r="F426" i="4"/>
  <c r="D426" i="4"/>
  <c r="E426" i="4" s="1"/>
  <c r="C426" i="4"/>
  <c r="B426" i="4"/>
  <c r="A426" i="4"/>
  <c r="G425" i="4"/>
  <c r="F425" i="4"/>
  <c r="D425" i="4"/>
  <c r="E425" i="4" s="1"/>
  <c r="C425" i="4"/>
  <c r="B425" i="4"/>
  <c r="A425" i="4"/>
  <c r="G424" i="4"/>
  <c r="F424" i="4"/>
  <c r="D424" i="4"/>
  <c r="E424" i="4" s="1"/>
  <c r="C424" i="4"/>
  <c r="B424" i="4"/>
  <c r="A424" i="4"/>
  <c r="G423" i="4"/>
  <c r="F423" i="4"/>
  <c r="D423" i="4"/>
  <c r="E423" i="4" s="1"/>
  <c r="C423" i="4"/>
  <c r="B423" i="4"/>
  <c r="A423" i="4"/>
  <c r="G422" i="4"/>
  <c r="F422" i="4"/>
  <c r="D422" i="4"/>
  <c r="E422" i="4" s="1"/>
  <c r="C422" i="4"/>
  <c r="B422" i="4"/>
  <c r="A422" i="4"/>
  <c r="G421" i="4"/>
  <c r="F421" i="4"/>
  <c r="D421" i="4"/>
  <c r="E421" i="4" s="1"/>
  <c r="C421" i="4"/>
  <c r="B421" i="4"/>
  <c r="A421" i="4"/>
  <c r="G420" i="4"/>
  <c r="F420" i="4"/>
  <c r="D420" i="4"/>
  <c r="E420" i="4" s="1"/>
  <c r="C420" i="4"/>
  <c r="B420" i="4"/>
  <c r="A420" i="4"/>
  <c r="G419" i="4"/>
  <c r="F419" i="4"/>
  <c r="D419" i="4"/>
  <c r="E419" i="4" s="1"/>
  <c r="C419" i="4"/>
  <c r="B419" i="4"/>
  <c r="A419" i="4"/>
  <c r="G418" i="4"/>
  <c r="F418" i="4"/>
  <c r="D418" i="4"/>
  <c r="E418" i="4" s="1"/>
  <c r="C418" i="4"/>
  <c r="B418" i="4"/>
  <c r="A418" i="4"/>
  <c r="G417" i="4"/>
  <c r="F417" i="4"/>
  <c r="D417" i="4"/>
  <c r="E417" i="4" s="1"/>
  <c r="C417" i="4"/>
  <c r="B417" i="4"/>
  <c r="A417" i="4"/>
  <c r="G416" i="4"/>
  <c r="F416" i="4"/>
  <c r="D416" i="4"/>
  <c r="E416" i="4" s="1"/>
  <c r="C416" i="4"/>
  <c r="B416" i="4"/>
  <c r="A416" i="4"/>
  <c r="G415" i="4"/>
  <c r="F415" i="4"/>
  <c r="D415" i="4"/>
  <c r="E415" i="4" s="1"/>
  <c r="C415" i="4"/>
  <c r="B415" i="4"/>
  <c r="A415" i="4"/>
  <c r="G414" i="4"/>
  <c r="F414" i="4"/>
  <c r="D414" i="4"/>
  <c r="E414" i="4" s="1"/>
  <c r="C414" i="4"/>
  <c r="B414" i="4"/>
  <c r="A414" i="4"/>
  <c r="G413" i="4"/>
  <c r="F413" i="4"/>
  <c r="D413" i="4"/>
  <c r="E413" i="4" s="1"/>
  <c r="C413" i="4"/>
  <c r="B413" i="4"/>
  <c r="A413" i="4"/>
  <c r="G412" i="4"/>
  <c r="F412" i="4"/>
  <c r="D412" i="4"/>
  <c r="E412" i="4" s="1"/>
  <c r="C412" i="4"/>
  <c r="B412" i="4"/>
  <c r="A412" i="4"/>
  <c r="G411" i="4"/>
  <c r="F411" i="4"/>
  <c r="D411" i="4"/>
  <c r="E411" i="4" s="1"/>
  <c r="C411" i="4"/>
  <c r="B411" i="4"/>
  <c r="A411" i="4"/>
  <c r="G410" i="4"/>
  <c r="F410" i="4"/>
  <c r="D410" i="4"/>
  <c r="E410" i="4" s="1"/>
  <c r="C410" i="4"/>
  <c r="B410" i="4"/>
  <c r="A410" i="4"/>
  <c r="G409" i="4"/>
  <c r="F409" i="4"/>
  <c r="D409" i="4"/>
  <c r="E409" i="4" s="1"/>
  <c r="C409" i="4"/>
  <c r="B409" i="4"/>
  <c r="A409" i="4"/>
  <c r="G408" i="4"/>
  <c r="F408" i="4"/>
  <c r="D408" i="4"/>
  <c r="E408" i="4" s="1"/>
  <c r="C408" i="4"/>
  <c r="B408" i="4"/>
  <c r="A408" i="4"/>
  <c r="G407" i="4"/>
  <c r="F407" i="4"/>
  <c r="D407" i="4"/>
  <c r="E407" i="4" s="1"/>
  <c r="C407" i="4"/>
  <c r="B407" i="4"/>
  <c r="A407" i="4"/>
  <c r="G406" i="4"/>
  <c r="F406" i="4"/>
  <c r="D406" i="4"/>
  <c r="E406" i="4" s="1"/>
  <c r="C406" i="4"/>
  <c r="B406" i="4"/>
  <c r="A406" i="4"/>
  <c r="G405" i="4"/>
  <c r="F405" i="4"/>
  <c r="D405" i="4"/>
  <c r="E405" i="4" s="1"/>
  <c r="C405" i="4"/>
  <c r="B405" i="4"/>
  <c r="A405" i="4"/>
  <c r="G404" i="4"/>
  <c r="F404" i="4"/>
  <c r="D404" i="4"/>
  <c r="E404" i="4" s="1"/>
  <c r="C404" i="4"/>
  <c r="B404" i="4"/>
  <c r="A404" i="4"/>
  <c r="G403" i="4"/>
  <c r="F403" i="4"/>
  <c r="D403" i="4"/>
  <c r="E403" i="4" s="1"/>
  <c r="C403" i="4"/>
  <c r="B403" i="4"/>
  <c r="A403" i="4"/>
  <c r="G402" i="4"/>
  <c r="F402" i="4"/>
  <c r="D402" i="4"/>
  <c r="E402" i="4" s="1"/>
  <c r="C402" i="4"/>
  <c r="B402" i="4"/>
  <c r="A402" i="4"/>
  <c r="G401" i="4"/>
  <c r="F401" i="4"/>
  <c r="D401" i="4"/>
  <c r="E401" i="4" s="1"/>
  <c r="C401" i="4"/>
  <c r="B401" i="4"/>
  <c r="A401" i="4"/>
  <c r="G400" i="4"/>
  <c r="F400" i="4"/>
  <c r="D400" i="4"/>
  <c r="E400" i="4" s="1"/>
  <c r="C400" i="4"/>
  <c r="B400" i="4"/>
  <c r="A400" i="4"/>
  <c r="G399" i="4"/>
  <c r="F399" i="4"/>
  <c r="D399" i="4"/>
  <c r="E399" i="4" s="1"/>
  <c r="C399" i="4"/>
  <c r="B399" i="4"/>
  <c r="A399" i="4"/>
  <c r="G398" i="4"/>
  <c r="F398" i="4"/>
  <c r="D398" i="4"/>
  <c r="E398" i="4" s="1"/>
  <c r="C398" i="4"/>
  <c r="B398" i="4"/>
  <c r="A398" i="4"/>
  <c r="G397" i="4"/>
  <c r="F397" i="4"/>
  <c r="D397" i="4"/>
  <c r="E397" i="4" s="1"/>
  <c r="C397" i="4"/>
  <c r="B397" i="4"/>
  <c r="A397" i="4"/>
  <c r="G396" i="4"/>
  <c r="F396" i="4"/>
  <c r="D396" i="4"/>
  <c r="E396" i="4" s="1"/>
  <c r="C396" i="4"/>
  <c r="B396" i="4"/>
  <c r="A396" i="4"/>
  <c r="G395" i="4"/>
  <c r="F395" i="4"/>
  <c r="D395" i="4"/>
  <c r="E395" i="4" s="1"/>
  <c r="C395" i="4"/>
  <c r="B395" i="4"/>
  <c r="A395" i="4"/>
  <c r="G394" i="4"/>
  <c r="F394" i="4"/>
  <c r="D394" i="4"/>
  <c r="E394" i="4" s="1"/>
  <c r="C394" i="4"/>
  <c r="B394" i="4"/>
  <c r="A394" i="4"/>
  <c r="G393" i="4"/>
  <c r="F393" i="4"/>
  <c r="D393" i="4"/>
  <c r="E393" i="4" s="1"/>
  <c r="C393" i="4"/>
  <c r="B393" i="4"/>
  <c r="A393" i="4"/>
  <c r="G392" i="4"/>
  <c r="F392" i="4"/>
  <c r="D392" i="4"/>
  <c r="E392" i="4" s="1"/>
  <c r="C392" i="4"/>
  <c r="B392" i="4"/>
  <c r="A392" i="4"/>
  <c r="G391" i="4"/>
  <c r="F391" i="4"/>
  <c r="D391" i="4"/>
  <c r="E391" i="4" s="1"/>
  <c r="C391" i="4"/>
  <c r="B391" i="4"/>
  <c r="A391" i="4"/>
  <c r="G390" i="4"/>
  <c r="F390" i="4"/>
  <c r="D390" i="4"/>
  <c r="E390" i="4" s="1"/>
  <c r="C390" i="4"/>
  <c r="B390" i="4"/>
  <c r="A390" i="4"/>
  <c r="G389" i="4"/>
  <c r="F389" i="4"/>
  <c r="D389" i="4"/>
  <c r="E389" i="4" s="1"/>
  <c r="C389" i="4"/>
  <c r="B389" i="4"/>
  <c r="A389" i="4"/>
  <c r="G388" i="4"/>
  <c r="F388" i="4"/>
  <c r="D388" i="4"/>
  <c r="E388" i="4" s="1"/>
  <c r="C388" i="4"/>
  <c r="B388" i="4"/>
  <c r="A388" i="4"/>
  <c r="G387" i="4"/>
  <c r="F387" i="4"/>
  <c r="D387" i="4"/>
  <c r="E387" i="4" s="1"/>
  <c r="C387" i="4"/>
  <c r="B387" i="4"/>
  <c r="A387" i="4"/>
  <c r="G386" i="4"/>
  <c r="F386" i="4"/>
  <c r="D386" i="4"/>
  <c r="E386" i="4" s="1"/>
  <c r="C386" i="4"/>
  <c r="B386" i="4"/>
  <c r="A386" i="4"/>
  <c r="G385" i="4"/>
  <c r="F385" i="4"/>
  <c r="D385" i="4"/>
  <c r="E385" i="4" s="1"/>
  <c r="C385" i="4"/>
  <c r="B385" i="4"/>
  <c r="A385" i="4"/>
  <c r="G384" i="4"/>
  <c r="F384" i="4"/>
  <c r="D384" i="4"/>
  <c r="E384" i="4" s="1"/>
  <c r="C384" i="4"/>
  <c r="B384" i="4"/>
  <c r="A384" i="4"/>
  <c r="G383" i="4"/>
  <c r="F383" i="4"/>
  <c r="D383" i="4"/>
  <c r="E383" i="4" s="1"/>
  <c r="C383" i="4"/>
  <c r="B383" i="4"/>
  <c r="A383" i="4"/>
  <c r="G382" i="4"/>
  <c r="F382" i="4"/>
  <c r="D382" i="4"/>
  <c r="E382" i="4" s="1"/>
  <c r="C382" i="4"/>
  <c r="B382" i="4"/>
  <c r="A382" i="4"/>
  <c r="G381" i="4"/>
  <c r="F381" i="4"/>
  <c r="D381" i="4"/>
  <c r="E381" i="4" s="1"/>
  <c r="C381" i="4"/>
  <c r="B381" i="4"/>
  <c r="A381" i="4"/>
  <c r="G380" i="4"/>
  <c r="F380" i="4"/>
  <c r="D380" i="4"/>
  <c r="E380" i="4" s="1"/>
  <c r="C380" i="4"/>
  <c r="B380" i="4"/>
  <c r="A380" i="4"/>
  <c r="G379" i="4"/>
  <c r="F379" i="4"/>
  <c r="D379" i="4"/>
  <c r="E379" i="4" s="1"/>
  <c r="C379" i="4"/>
  <c r="B379" i="4"/>
  <c r="A379" i="4"/>
  <c r="G378" i="4"/>
  <c r="F378" i="4"/>
  <c r="D378" i="4"/>
  <c r="E378" i="4" s="1"/>
  <c r="C378" i="4"/>
  <c r="B378" i="4"/>
  <c r="A378" i="4"/>
  <c r="G377" i="4"/>
  <c r="F377" i="4"/>
  <c r="D377" i="4"/>
  <c r="E377" i="4" s="1"/>
  <c r="C377" i="4"/>
  <c r="B377" i="4"/>
  <c r="A377" i="4"/>
  <c r="G376" i="4"/>
  <c r="F376" i="4"/>
  <c r="D376" i="4"/>
  <c r="E376" i="4" s="1"/>
  <c r="C376" i="4"/>
  <c r="B376" i="4"/>
  <c r="A376" i="4"/>
  <c r="G375" i="4"/>
  <c r="F375" i="4"/>
  <c r="D375" i="4"/>
  <c r="E375" i="4" s="1"/>
  <c r="C375" i="4"/>
  <c r="B375" i="4"/>
  <c r="A375" i="4"/>
  <c r="G374" i="4"/>
  <c r="F374" i="4"/>
  <c r="D374" i="4"/>
  <c r="E374" i="4" s="1"/>
  <c r="C374" i="4"/>
  <c r="B374" i="4"/>
  <c r="A374" i="4"/>
  <c r="G373" i="4"/>
  <c r="F373" i="4"/>
  <c r="D373" i="4"/>
  <c r="E373" i="4" s="1"/>
  <c r="C373" i="4"/>
  <c r="B373" i="4"/>
  <c r="A373" i="4"/>
  <c r="G372" i="4"/>
  <c r="F372" i="4"/>
  <c r="D372" i="4"/>
  <c r="E372" i="4" s="1"/>
  <c r="C372" i="4"/>
  <c r="B372" i="4"/>
  <c r="A372" i="4"/>
  <c r="G371" i="4"/>
  <c r="F371" i="4"/>
  <c r="D371" i="4"/>
  <c r="E371" i="4" s="1"/>
  <c r="C371" i="4"/>
  <c r="B371" i="4"/>
  <c r="A371" i="4"/>
  <c r="G370" i="4"/>
  <c r="F370" i="4"/>
  <c r="D370" i="4"/>
  <c r="E370" i="4" s="1"/>
  <c r="C370" i="4"/>
  <c r="B370" i="4"/>
  <c r="A370" i="4"/>
  <c r="G369" i="4"/>
  <c r="F369" i="4"/>
  <c r="D369" i="4"/>
  <c r="E369" i="4" s="1"/>
  <c r="C369" i="4"/>
  <c r="B369" i="4"/>
  <c r="A369" i="4"/>
  <c r="G368" i="4"/>
  <c r="F368" i="4"/>
  <c r="D368" i="4"/>
  <c r="E368" i="4" s="1"/>
  <c r="C368" i="4"/>
  <c r="B368" i="4"/>
  <c r="A368" i="4"/>
  <c r="G367" i="4"/>
  <c r="F367" i="4"/>
  <c r="D367" i="4"/>
  <c r="E367" i="4" s="1"/>
  <c r="C367" i="4"/>
  <c r="B367" i="4"/>
  <c r="A367" i="4"/>
  <c r="G366" i="4"/>
  <c r="F366" i="4"/>
  <c r="D366" i="4"/>
  <c r="E366" i="4" s="1"/>
  <c r="C366" i="4"/>
  <c r="B366" i="4"/>
  <c r="A366" i="4"/>
  <c r="G365" i="4"/>
  <c r="F365" i="4"/>
  <c r="D365" i="4"/>
  <c r="E365" i="4" s="1"/>
  <c r="C365" i="4"/>
  <c r="B365" i="4"/>
  <c r="A365" i="4"/>
  <c r="G364" i="4"/>
  <c r="F364" i="4"/>
  <c r="D364" i="4"/>
  <c r="E364" i="4" s="1"/>
  <c r="C364" i="4"/>
  <c r="B364" i="4"/>
  <c r="A364" i="4"/>
  <c r="G363" i="4"/>
  <c r="F363" i="4"/>
  <c r="D363" i="4"/>
  <c r="E363" i="4" s="1"/>
  <c r="C363" i="4"/>
  <c r="B363" i="4"/>
  <c r="A363" i="4"/>
  <c r="G362" i="4"/>
  <c r="F362" i="4"/>
  <c r="D362" i="4"/>
  <c r="E362" i="4" s="1"/>
  <c r="C362" i="4"/>
  <c r="B362" i="4"/>
  <c r="A362" i="4"/>
  <c r="G361" i="4"/>
  <c r="F361" i="4"/>
  <c r="D361" i="4"/>
  <c r="E361" i="4" s="1"/>
  <c r="C361" i="4"/>
  <c r="B361" i="4"/>
  <c r="A361" i="4"/>
  <c r="G360" i="4"/>
  <c r="F360" i="4"/>
  <c r="D360" i="4"/>
  <c r="E360" i="4" s="1"/>
  <c r="C360" i="4"/>
  <c r="B360" i="4"/>
  <c r="A360" i="4"/>
  <c r="G359" i="4"/>
  <c r="F359" i="4"/>
  <c r="D359" i="4"/>
  <c r="E359" i="4" s="1"/>
  <c r="C359" i="4"/>
  <c r="B359" i="4"/>
  <c r="A359" i="4"/>
  <c r="G358" i="4"/>
  <c r="F358" i="4"/>
  <c r="D358" i="4"/>
  <c r="E358" i="4" s="1"/>
  <c r="C358" i="4"/>
  <c r="B358" i="4"/>
  <c r="A358" i="4"/>
  <c r="G357" i="4"/>
  <c r="F357" i="4"/>
  <c r="D357" i="4"/>
  <c r="E357" i="4" s="1"/>
  <c r="C357" i="4"/>
  <c r="B357" i="4"/>
  <c r="A357" i="4"/>
  <c r="G356" i="4"/>
  <c r="F356" i="4"/>
  <c r="D356" i="4"/>
  <c r="E356" i="4" s="1"/>
  <c r="C356" i="4"/>
  <c r="B356" i="4"/>
  <c r="A356" i="4"/>
  <c r="G355" i="4"/>
  <c r="F355" i="4"/>
  <c r="D355" i="4"/>
  <c r="E355" i="4" s="1"/>
  <c r="C355" i="4"/>
  <c r="B355" i="4"/>
  <c r="A355" i="4"/>
  <c r="G354" i="4"/>
  <c r="F354" i="4"/>
  <c r="D354" i="4"/>
  <c r="E354" i="4" s="1"/>
  <c r="C354" i="4"/>
  <c r="B354" i="4"/>
  <c r="A354" i="4"/>
  <c r="G353" i="4"/>
  <c r="F353" i="4"/>
  <c r="D353" i="4"/>
  <c r="E353" i="4" s="1"/>
  <c r="C353" i="4"/>
  <c r="B353" i="4"/>
  <c r="A353" i="4"/>
  <c r="G352" i="4"/>
  <c r="F352" i="4"/>
  <c r="D352" i="4"/>
  <c r="E352" i="4" s="1"/>
  <c r="C352" i="4"/>
  <c r="B352" i="4"/>
  <c r="A352" i="4"/>
  <c r="G351" i="4"/>
  <c r="F351" i="4"/>
  <c r="D351" i="4"/>
  <c r="E351" i="4" s="1"/>
  <c r="C351" i="4"/>
  <c r="B351" i="4"/>
  <c r="A351" i="4"/>
  <c r="G350" i="4"/>
  <c r="F350" i="4"/>
  <c r="D350" i="4"/>
  <c r="E350" i="4" s="1"/>
  <c r="C350" i="4"/>
  <c r="B350" i="4"/>
  <c r="A350" i="4"/>
  <c r="G349" i="4"/>
  <c r="F349" i="4"/>
  <c r="D349" i="4"/>
  <c r="E349" i="4" s="1"/>
  <c r="C349" i="4"/>
  <c r="B349" i="4"/>
  <c r="A349" i="4"/>
  <c r="G348" i="4"/>
  <c r="F348" i="4"/>
  <c r="D348" i="4"/>
  <c r="E348" i="4" s="1"/>
  <c r="C348" i="4"/>
  <c r="B348" i="4"/>
  <c r="A348" i="4"/>
  <c r="G347" i="4"/>
  <c r="F347" i="4"/>
  <c r="D347" i="4"/>
  <c r="E347" i="4" s="1"/>
  <c r="C347" i="4"/>
  <c r="B347" i="4"/>
  <c r="A347" i="4"/>
  <c r="G346" i="4"/>
  <c r="F346" i="4"/>
  <c r="D346" i="4"/>
  <c r="E346" i="4" s="1"/>
  <c r="C346" i="4"/>
  <c r="B346" i="4"/>
  <c r="A346" i="4"/>
  <c r="G345" i="4"/>
  <c r="F345" i="4"/>
  <c r="D345" i="4"/>
  <c r="E345" i="4" s="1"/>
  <c r="C345" i="4"/>
  <c r="B345" i="4"/>
  <c r="A345" i="4"/>
  <c r="G344" i="4"/>
  <c r="F344" i="4"/>
  <c r="D344" i="4"/>
  <c r="E344" i="4" s="1"/>
  <c r="C344" i="4"/>
  <c r="B344" i="4"/>
  <c r="A344" i="4"/>
  <c r="G343" i="4"/>
  <c r="F343" i="4"/>
  <c r="D343" i="4"/>
  <c r="E343" i="4" s="1"/>
  <c r="C343" i="4"/>
  <c r="B343" i="4"/>
  <c r="A343" i="4"/>
  <c r="G342" i="4"/>
  <c r="F342" i="4"/>
  <c r="D342" i="4"/>
  <c r="E342" i="4" s="1"/>
  <c r="C342" i="4"/>
  <c r="B342" i="4"/>
  <c r="A342" i="4"/>
  <c r="G341" i="4"/>
  <c r="F341" i="4"/>
  <c r="D341" i="4"/>
  <c r="E341" i="4" s="1"/>
  <c r="C341" i="4"/>
  <c r="B341" i="4"/>
  <c r="A341" i="4"/>
  <c r="G340" i="4"/>
  <c r="F340" i="4"/>
  <c r="D340" i="4"/>
  <c r="E340" i="4" s="1"/>
  <c r="C340" i="4"/>
  <c r="B340" i="4"/>
  <c r="A340" i="4"/>
  <c r="G339" i="4"/>
  <c r="F339" i="4"/>
  <c r="D339" i="4"/>
  <c r="E339" i="4" s="1"/>
  <c r="C339" i="4"/>
  <c r="B339" i="4"/>
  <c r="A339" i="4"/>
  <c r="G338" i="4"/>
  <c r="F338" i="4"/>
  <c r="D338" i="4"/>
  <c r="E338" i="4" s="1"/>
  <c r="C338" i="4"/>
  <c r="B338" i="4"/>
  <c r="A338" i="4"/>
  <c r="G337" i="4"/>
  <c r="F337" i="4"/>
  <c r="D337" i="4"/>
  <c r="E337" i="4" s="1"/>
  <c r="C337" i="4"/>
  <c r="B337" i="4"/>
  <c r="A337" i="4"/>
  <c r="G336" i="4"/>
  <c r="F336" i="4"/>
  <c r="D336" i="4"/>
  <c r="E336" i="4" s="1"/>
  <c r="C336" i="4"/>
  <c r="B336" i="4"/>
  <c r="A336" i="4"/>
  <c r="G335" i="4"/>
  <c r="F335" i="4"/>
  <c r="D335" i="4"/>
  <c r="E335" i="4" s="1"/>
  <c r="C335" i="4"/>
  <c r="B335" i="4"/>
  <c r="A335" i="4"/>
  <c r="G334" i="4"/>
  <c r="F334" i="4"/>
  <c r="D334" i="4"/>
  <c r="E334" i="4" s="1"/>
  <c r="C334" i="4"/>
  <c r="B334" i="4"/>
  <c r="A334" i="4"/>
  <c r="G333" i="4"/>
  <c r="F333" i="4"/>
  <c r="D333" i="4"/>
  <c r="E333" i="4" s="1"/>
  <c r="C333" i="4"/>
  <c r="B333" i="4"/>
  <c r="A333" i="4"/>
  <c r="G332" i="4"/>
  <c r="F332" i="4"/>
  <c r="D332" i="4"/>
  <c r="E332" i="4" s="1"/>
  <c r="C332" i="4"/>
  <c r="B332" i="4"/>
  <c r="A332" i="4"/>
  <c r="G331" i="4"/>
  <c r="F331" i="4"/>
  <c r="D331" i="4"/>
  <c r="E331" i="4" s="1"/>
  <c r="C331" i="4"/>
  <c r="B331" i="4"/>
  <c r="A331" i="4"/>
  <c r="G330" i="4"/>
  <c r="F330" i="4"/>
  <c r="D330" i="4"/>
  <c r="E330" i="4" s="1"/>
  <c r="C330" i="4"/>
  <c r="B330" i="4"/>
  <c r="A330" i="4"/>
  <c r="G329" i="4"/>
  <c r="F329" i="4"/>
  <c r="D329" i="4"/>
  <c r="E329" i="4" s="1"/>
  <c r="C329" i="4"/>
  <c r="B329" i="4"/>
  <c r="A329" i="4"/>
  <c r="G328" i="4"/>
  <c r="F328" i="4"/>
  <c r="D328" i="4"/>
  <c r="E328" i="4" s="1"/>
  <c r="C328" i="4"/>
  <c r="B328" i="4"/>
  <c r="A328" i="4"/>
  <c r="G327" i="4"/>
  <c r="F327" i="4"/>
  <c r="D327" i="4"/>
  <c r="E327" i="4" s="1"/>
  <c r="C327" i="4"/>
  <c r="B327" i="4"/>
  <c r="A327" i="4"/>
  <c r="G326" i="4"/>
  <c r="F326" i="4"/>
  <c r="D326" i="4"/>
  <c r="E326" i="4" s="1"/>
  <c r="C326" i="4"/>
  <c r="B326" i="4"/>
  <c r="A326" i="4"/>
  <c r="G325" i="4"/>
  <c r="F325" i="4"/>
  <c r="D325" i="4"/>
  <c r="E325" i="4" s="1"/>
  <c r="C325" i="4"/>
  <c r="B325" i="4"/>
  <c r="A325" i="4"/>
  <c r="G324" i="4"/>
  <c r="F324" i="4"/>
  <c r="D324" i="4"/>
  <c r="E324" i="4" s="1"/>
  <c r="C324" i="4"/>
  <c r="B324" i="4"/>
  <c r="A324" i="4"/>
  <c r="G323" i="4"/>
  <c r="F323" i="4"/>
  <c r="D323" i="4"/>
  <c r="E323" i="4" s="1"/>
  <c r="C323" i="4"/>
  <c r="B323" i="4"/>
  <c r="A323" i="4"/>
  <c r="G322" i="4"/>
  <c r="F322" i="4"/>
  <c r="D322" i="4"/>
  <c r="E322" i="4" s="1"/>
  <c r="C322" i="4"/>
  <c r="B322" i="4"/>
  <c r="A322" i="4"/>
  <c r="G321" i="4"/>
  <c r="F321" i="4"/>
  <c r="D321" i="4"/>
  <c r="E321" i="4" s="1"/>
  <c r="C321" i="4"/>
  <c r="B321" i="4"/>
  <c r="A321" i="4"/>
  <c r="G320" i="4"/>
  <c r="F320" i="4"/>
  <c r="D320" i="4"/>
  <c r="E320" i="4" s="1"/>
  <c r="C320" i="4"/>
  <c r="B320" i="4"/>
  <c r="A320" i="4"/>
  <c r="G319" i="4"/>
  <c r="F319" i="4"/>
  <c r="D319" i="4"/>
  <c r="E319" i="4" s="1"/>
  <c r="C319" i="4"/>
  <c r="B319" i="4"/>
  <c r="A319" i="4"/>
  <c r="G318" i="4"/>
  <c r="F318" i="4"/>
  <c r="D318" i="4"/>
  <c r="E318" i="4" s="1"/>
  <c r="C318" i="4"/>
  <c r="B318" i="4"/>
  <c r="A318" i="4"/>
  <c r="G317" i="4"/>
  <c r="F317" i="4"/>
  <c r="D317" i="4"/>
  <c r="E317" i="4" s="1"/>
  <c r="C317" i="4"/>
  <c r="B317" i="4"/>
  <c r="A317" i="4"/>
  <c r="G316" i="4"/>
  <c r="F316" i="4"/>
  <c r="D316" i="4"/>
  <c r="E316" i="4" s="1"/>
  <c r="C316" i="4"/>
  <c r="B316" i="4"/>
  <c r="A316" i="4"/>
  <c r="G315" i="4"/>
  <c r="F315" i="4"/>
  <c r="D315" i="4"/>
  <c r="E315" i="4" s="1"/>
  <c r="C315" i="4"/>
  <c r="B315" i="4"/>
  <c r="A315" i="4"/>
  <c r="G314" i="4"/>
  <c r="F314" i="4"/>
  <c r="D314" i="4"/>
  <c r="E314" i="4" s="1"/>
  <c r="C314" i="4"/>
  <c r="B314" i="4"/>
  <c r="A314" i="4"/>
  <c r="G313" i="4"/>
  <c r="F313" i="4"/>
  <c r="D313" i="4"/>
  <c r="E313" i="4" s="1"/>
  <c r="C313" i="4"/>
  <c r="B313" i="4"/>
  <c r="A313" i="4"/>
  <c r="G312" i="4"/>
  <c r="F312" i="4"/>
  <c r="D312" i="4"/>
  <c r="E312" i="4" s="1"/>
  <c r="C312" i="4"/>
  <c r="B312" i="4"/>
  <c r="A312" i="4"/>
  <c r="G311" i="4"/>
  <c r="F311" i="4"/>
  <c r="D311" i="4"/>
  <c r="E311" i="4" s="1"/>
  <c r="C311" i="4"/>
  <c r="B311" i="4"/>
  <c r="A311" i="4"/>
  <c r="G310" i="4"/>
  <c r="F310" i="4"/>
  <c r="D310" i="4"/>
  <c r="E310" i="4" s="1"/>
  <c r="C310" i="4"/>
  <c r="B310" i="4"/>
  <c r="A310" i="4"/>
  <c r="G309" i="4"/>
  <c r="F309" i="4"/>
  <c r="D309" i="4"/>
  <c r="E309" i="4" s="1"/>
  <c r="C309" i="4"/>
  <c r="B309" i="4"/>
  <c r="A309" i="4"/>
  <c r="G308" i="4"/>
  <c r="F308" i="4"/>
  <c r="D308" i="4"/>
  <c r="E308" i="4" s="1"/>
  <c r="C308" i="4"/>
  <c r="B308" i="4"/>
  <c r="A308" i="4"/>
  <c r="G307" i="4"/>
  <c r="F307" i="4"/>
  <c r="D307" i="4"/>
  <c r="E307" i="4" s="1"/>
  <c r="C307" i="4"/>
  <c r="B307" i="4"/>
  <c r="A307" i="4"/>
  <c r="G306" i="4"/>
  <c r="F306" i="4"/>
  <c r="D306" i="4"/>
  <c r="E306" i="4" s="1"/>
  <c r="C306" i="4"/>
  <c r="B306" i="4"/>
  <c r="A306" i="4"/>
  <c r="G305" i="4"/>
  <c r="F305" i="4"/>
  <c r="D305" i="4"/>
  <c r="E305" i="4" s="1"/>
  <c r="C305" i="4"/>
  <c r="B305" i="4"/>
  <c r="A305" i="4"/>
  <c r="G304" i="4"/>
  <c r="F304" i="4"/>
  <c r="D304" i="4"/>
  <c r="E304" i="4" s="1"/>
  <c r="C304" i="4"/>
  <c r="B304" i="4"/>
  <c r="A304" i="4"/>
  <c r="G303" i="4"/>
  <c r="F303" i="4"/>
  <c r="D303" i="4"/>
  <c r="E303" i="4" s="1"/>
  <c r="C303" i="4"/>
  <c r="B303" i="4"/>
  <c r="A303" i="4"/>
  <c r="G302" i="4"/>
  <c r="F302" i="4"/>
  <c r="D302" i="4"/>
  <c r="E302" i="4" s="1"/>
  <c r="C302" i="4"/>
  <c r="B302" i="4"/>
  <c r="A302" i="4"/>
  <c r="G301" i="4"/>
  <c r="F301" i="4"/>
  <c r="D301" i="4"/>
  <c r="E301" i="4" s="1"/>
  <c r="C301" i="4"/>
  <c r="B301" i="4"/>
  <c r="A301" i="4"/>
  <c r="G300" i="4"/>
  <c r="F300" i="4"/>
  <c r="D300" i="4"/>
  <c r="E300" i="4" s="1"/>
  <c r="C300" i="4"/>
  <c r="B300" i="4"/>
  <c r="A300" i="4"/>
  <c r="G299" i="4"/>
  <c r="F299" i="4"/>
  <c r="D299" i="4"/>
  <c r="E299" i="4" s="1"/>
  <c r="C299" i="4"/>
  <c r="B299" i="4"/>
  <c r="A299" i="4"/>
  <c r="G298" i="4"/>
  <c r="F298" i="4"/>
  <c r="D298" i="4"/>
  <c r="E298" i="4" s="1"/>
  <c r="C298" i="4"/>
  <c r="B298" i="4"/>
  <c r="A298" i="4"/>
  <c r="G297" i="4"/>
  <c r="F297" i="4"/>
  <c r="D297" i="4"/>
  <c r="E297" i="4" s="1"/>
  <c r="C297" i="4"/>
  <c r="B297" i="4"/>
  <c r="A297" i="4"/>
  <c r="G296" i="4"/>
  <c r="F296" i="4"/>
  <c r="D296" i="4"/>
  <c r="E296" i="4" s="1"/>
  <c r="C296" i="4"/>
  <c r="B296" i="4"/>
  <c r="A296" i="4"/>
  <c r="G295" i="4"/>
  <c r="F295" i="4"/>
  <c r="D295" i="4"/>
  <c r="E295" i="4" s="1"/>
  <c r="C295" i="4"/>
  <c r="B295" i="4"/>
  <c r="A295" i="4"/>
  <c r="G294" i="4"/>
  <c r="F294" i="4"/>
  <c r="D294" i="4"/>
  <c r="E294" i="4" s="1"/>
  <c r="C294" i="4"/>
  <c r="B294" i="4"/>
  <c r="A294" i="4"/>
  <c r="G293" i="4"/>
  <c r="F293" i="4"/>
  <c r="D293" i="4"/>
  <c r="E293" i="4" s="1"/>
  <c r="C293" i="4"/>
  <c r="B293" i="4"/>
  <c r="A293" i="4"/>
  <c r="G292" i="4"/>
  <c r="F292" i="4"/>
  <c r="D292" i="4"/>
  <c r="E292" i="4" s="1"/>
  <c r="C292" i="4"/>
  <c r="B292" i="4"/>
  <c r="A292" i="4"/>
  <c r="G291" i="4"/>
  <c r="F291" i="4"/>
  <c r="D291" i="4"/>
  <c r="E291" i="4" s="1"/>
  <c r="C291" i="4"/>
  <c r="B291" i="4"/>
  <c r="A291" i="4"/>
  <c r="G290" i="4"/>
  <c r="F290" i="4"/>
  <c r="D290" i="4"/>
  <c r="E290" i="4" s="1"/>
  <c r="C290" i="4"/>
  <c r="B290" i="4"/>
  <c r="A290" i="4"/>
  <c r="G289" i="4"/>
  <c r="F289" i="4"/>
  <c r="D289" i="4"/>
  <c r="E289" i="4" s="1"/>
  <c r="C289" i="4"/>
  <c r="B289" i="4"/>
  <c r="A289" i="4"/>
  <c r="G288" i="4"/>
  <c r="F288" i="4"/>
  <c r="D288" i="4"/>
  <c r="E288" i="4" s="1"/>
  <c r="C288" i="4"/>
  <c r="B288" i="4"/>
  <c r="A288" i="4"/>
  <c r="G287" i="4"/>
  <c r="F287" i="4"/>
  <c r="D287" i="4"/>
  <c r="E287" i="4" s="1"/>
  <c r="C287" i="4"/>
  <c r="B287" i="4"/>
  <c r="A287" i="4"/>
  <c r="G286" i="4"/>
  <c r="F286" i="4"/>
  <c r="D286" i="4"/>
  <c r="E286" i="4" s="1"/>
  <c r="C286" i="4"/>
  <c r="B286" i="4"/>
  <c r="A286" i="4"/>
  <c r="G285" i="4"/>
  <c r="F285" i="4"/>
  <c r="D285" i="4"/>
  <c r="E285" i="4" s="1"/>
  <c r="C285" i="4"/>
  <c r="B285" i="4"/>
  <c r="A285" i="4"/>
  <c r="G284" i="4"/>
  <c r="F284" i="4"/>
  <c r="D284" i="4"/>
  <c r="E284" i="4" s="1"/>
  <c r="C284" i="4"/>
  <c r="B284" i="4"/>
  <c r="A284" i="4"/>
  <c r="G283" i="4"/>
  <c r="F283" i="4"/>
  <c r="D283" i="4"/>
  <c r="E283" i="4" s="1"/>
  <c r="C283" i="4"/>
  <c r="B283" i="4"/>
  <c r="A283" i="4"/>
  <c r="G282" i="4"/>
  <c r="F282" i="4"/>
  <c r="D282" i="4"/>
  <c r="E282" i="4" s="1"/>
  <c r="C282" i="4"/>
  <c r="B282" i="4"/>
  <c r="A282" i="4"/>
  <c r="G281" i="4"/>
  <c r="F281" i="4"/>
  <c r="D281" i="4"/>
  <c r="E281" i="4" s="1"/>
  <c r="C281" i="4"/>
  <c r="B281" i="4"/>
  <c r="A281" i="4"/>
  <c r="G280" i="4"/>
  <c r="F280" i="4"/>
  <c r="D280" i="4"/>
  <c r="E280" i="4" s="1"/>
  <c r="C280" i="4"/>
  <c r="B280" i="4"/>
  <c r="A280" i="4"/>
  <c r="G279" i="4"/>
  <c r="F279" i="4"/>
  <c r="D279" i="4"/>
  <c r="E279" i="4" s="1"/>
  <c r="C279" i="4"/>
  <c r="B279" i="4"/>
  <c r="A279" i="4"/>
  <c r="G278" i="4"/>
  <c r="F278" i="4"/>
  <c r="D278" i="4"/>
  <c r="E278" i="4" s="1"/>
  <c r="C278" i="4"/>
  <c r="B278" i="4"/>
  <c r="A278" i="4"/>
  <c r="G277" i="4"/>
  <c r="F277" i="4"/>
  <c r="D277" i="4"/>
  <c r="E277" i="4" s="1"/>
  <c r="C277" i="4"/>
  <c r="B277" i="4"/>
  <c r="A277" i="4"/>
  <c r="G276" i="4"/>
  <c r="F276" i="4"/>
  <c r="D276" i="4"/>
  <c r="E276" i="4" s="1"/>
  <c r="C276" i="4"/>
  <c r="B276" i="4"/>
  <c r="A276" i="4"/>
  <c r="G275" i="4"/>
  <c r="F275" i="4"/>
  <c r="D275" i="4"/>
  <c r="E275" i="4" s="1"/>
  <c r="C275" i="4"/>
  <c r="B275" i="4"/>
  <c r="A275" i="4"/>
  <c r="G274" i="4"/>
  <c r="F274" i="4"/>
  <c r="D274" i="4"/>
  <c r="E274" i="4" s="1"/>
  <c r="C274" i="4"/>
  <c r="B274" i="4"/>
  <c r="A274" i="4"/>
  <c r="G273" i="4"/>
  <c r="F273" i="4"/>
  <c r="D273" i="4"/>
  <c r="E273" i="4" s="1"/>
  <c r="C273" i="4"/>
  <c r="B273" i="4"/>
  <c r="A273" i="4"/>
  <c r="G272" i="4"/>
  <c r="F272" i="4"/>
  <c r="D272" i="4"/>
  <c r="E272" i="4" s="1"/>
  <c r="C272" i="4"/>
  <c r="B272" i="4"/>
  <c r="A272" i="4"/>
  <c r="G271" i="4"/>
  <c r="F271" i="4"/>
  <c r="D271" i="4"/>
  <c r="E271" i="4" s="1"/>
  <c r="C271" i="4"/>
  <c r="B271" i="4"/>
  <c r="A271" i="4"/>
  <c r="G270" i="4"/>
  <c r="F270" i="4"/>
  <c r="D270" i="4"/>
  <c r="E270" i="4" s="1"/>
  <c r="C270" i="4"/>
  <c r="B270" i="4"/>
  <c r="A270" i="4"/>
  <c r="G269" i="4"/>
  <c r="F269" i="4"/>
  <c r="D269" i="4"/>
  <c r="E269" i="4" s="1"/>
  <c r="C269" i="4"/>
  <c r="B269" i="4"/>
  <c r="A269" i="4"/>
  <c r="G268" i="4"/>
  <c r="F268" i="4"/>
  <c r="D268" i="4"/>
  <c r="E268" i="4" s="1"/>
  <c r="C268" i="4"/>
  <c r="B268" i="4"/>
  <c r="A268" i="4"/>
  <c r="G267" i="4"/>
  <c r="F267" i="4"/>
  <c r="D267" i="4"/>
  <c r="E267" i="4" s="1"/>
  <c r="C267" i="4"/>
  <c r="B267" i="4"/>
  <c r="A267" i="4"/>
  <c r="G266" i="4"/>
  <c r="F266" i="4"/>
  <c r="D266" i="4"/>
  <c r="E266" i="4" s="1"/>
  <c r="C266" i="4"/>
  <c r="B266" i="4"/>
  <c r="A266" i="4"/>
  <c r="G265" i="4"/>
  <c r="F265" i="4"/>
  <c r="D265" i="4"/>
  <c r="E265" i="4" s="1"/>
  <c r="C265" i="4"/>
  <c r="B265" i="4"/>
  <c r="A265" i="4"/>
  <c r="G264" i="4"/>
  <c r="F264" i="4"/>
  <c r="D264" i="4"/>
  <c r="E264" i="4" s="1"/>
  <c r="C264" i="4"/>
  <c r="B264" i="4"/>
  <c r="A264" i="4"/>
  <c r="G263" i="4"/>
  <c r="F263" i="4"/>
  <c r="D263" i="4"/>
  <c r="E263" i="4" s="1"/>
  <c r="C263" i="4"/>
  <c r="B263" i="4"/>
  <c r="A263" i="4"/>
  <c r="G262" i="4"/>
  <c r="F262" i="4"/>
  <c r="D262" i="4"/>
  <c r="E262" i="4" s="1"/>
  <c r="C262" i="4"/>
  <c r="B262" i="4"/>
  <c r="A262" i="4"/>
  <c r="G261" i="4"/>
  <c r="F261" i="4"/>
  <c r="D261" i="4"/>
  <c r="E261" i="4" s="1"/>
  <c r="C261" i="4"/>
  <c r="B261" i="4"/>
  <c r="A261" i="4"/>
  <c r="G260" i="4"/>
  <c r="F260" i="4"/>
  <c r="D260" i="4"/>
  <c r="E260" i="4" s="1"/>
  <c r="C260" i="4"/>
  <c r="B260" i="4"/>
  <c r="A260" i="4"/>
  <c r="G259" i="4"/>
  <c r="F259" i="4"/>
  <c r="D259" i="4"/>
  <c r="E259" i="4" s="1"/>
  <c r="C259" i="4"/>
  <c r="B259" i="4"/>
  <c r="A259" i="4"/>
  <c r="G258" i="4"/>
  <c r="F258" i="4"/>
  <c r="D258" i="4"/>
  <c r="E258" i="4" s="1"/>
  <c r="C258" i="4"/>
  <c r="B258" i="4"/>
  <c r="A258" i="4"/>
  <c r="G257" i="4"/>
  <c r="F257" i="4"/>
  <c r="D257" i="4"/>
  <c r="E257" i="4" s="1"/>
  <c r="C257" i="4"/>
  <c r="B257" i="4"/>
  <c r="A257" i="4"/>
  <c r="G256" i="4"/>
  <c r="F256" i="4"/>
  <c r="D256" i="4"/>
  <c r="E256" i="4" s="1"/>
  <c r="C256" i="4"/>
  <c r="B256" i="4"/>
  <c r="A256" i="4"/>
  <c r="G255" i="4"/>
  <c r="F255" i="4"/>
  <c r="D255" i="4"/>
  <c r="E255" i="4" s="1"/>
  <c r="C255" i="4"/>
  <c r="B255" i="4"/>
  <c r="A255" i="4"/>
  <c r="G254" i="4"/>
  <c r="F254" i="4"/>
  <c r="D254" i="4"/>
  <c r="E254" i="4" s="1"/>
  <c r="C254" i="4"/>
  <c r="B254" i="4"/>
  <c r="A254" i="4"/>
  <c r="G253" i="4"/>
  <c r="F253" i="4"/>
  <c r="D253" i="4"/>
  <c r="E253" i="4" s="1"/>
  <c r="C253" i="4"/>
  <c r="B253" i="4"/>
  <c r="A253" i="4"/>
  <c r="G252" i="4"/>
  <c r="F252" i="4"/>
  <c r="D252" i="4"/>
  <c r="E252" i="4" s="1"/>
  <c r="C252" i="4"/>
  <c r="B252" i="4"/>
  <c r="A252" i="4"/>
  <c r="G251" i="4"/>
  <c r="F251" i="4"/>
  <c r="D251" i="4"/>
  <c r="E251" i="4" s="1"/>
  <c r="C251" i="4"/>
  <c r="B251" i="4"/>
  <c r="A251" i="4"/>
  <c r="G250" i="4"/>
  <c r="F250" i="4"/>
  <c r="D250" i="4"/>
  <c r="E250" i="4" s="1"/>
  <c r="C250" i="4"/>
  <c r="B250" i="4"/>
  <c r="A250" i="4"/>
  <c r="G249" i="4"/>
  <c r="F249" i="4"/>
  <c r="D249" i="4"/>
  <c r="E249" i="4" s="1"/>
  <c r="C249" i="4"/>
  <c r="B249" i="4"/>
  <c r="A249" i="4"/>
  <c r="G248" i="4"/>
  <c r="F248" i="4"/>
  <c r="D248" i="4"/>
  <c r="E248" i="4" s="1"/>
  <c r="C248" i="4"/>
  <c r="B248" i="4"/>
  <c r="A248" i="4"/>
  <c r="G247" i="4"/>
  <c r="F247" i="4"/>
  <c r="D247" i="4"/>
  <c r="E247" i="4" s="1"/>
  <c r="C247" i="4"/>
  <c r="B247" i="4"/>
  <c r="A247" i="4"/>
  <c r="G246" i="4"/>
  <c r="F246" i="4"/>
  <c r="D246" i="4"/>
  <c r="E246" i="4" s="1"/>
  <c r="C246" i="4"/>
  <c r="B246" i="4"/>
  <c r="A246" i="4"/>
  <c r="G245" i="4"/>
  <c r="F245" i="4"/>
  <c r="D245" i="4"/>
  <c r="E245" i="4" s="1"/>
  <c r="C245" i="4"/>
  <c r="B245" i="4"/>
  <c r="A245" i="4"/>
  <c r="G244" i="4"/>
  <c r="F244" i="4"/>
  <c r="D244" i="4"/>
  <c r="E244" i="4" s="1"/>
  <c r="C244" i="4"/>
  <c r="B244" i="4"/>
  <c r="A244" i="4"/>
  <c r="G243" i="4"/>
  <c r="F243" i="4"/>
  <c r="D243" i="4"/>
  <c r="E243" i="4" s="1"/>
  <c r="C243" i="4"/>
  <c r="B243" i="4"/>
  <c r="A243" i="4"/>
  <c r="G242" i="4"/>
  <c r="F242" i="4"/>
  <c r="D242" i="4"/>
  <c r="E242" i="4" s="1"/>
  <c r="C242" i="4"/>
  <c r="B242" i="4"/>
  <c r="A242" i="4"/>
  <c r="G241" i="4"/>
  <c r="F241" i="4"/>
  <c r="D241" i="4"/>
  <c r="E241" i="4" s="1"/>
  <c r="C241" i="4"/>
  <c r="B241" i="4"/>
  <c r="A241" i="4"/>
  <c r="G240" i="4"/>
  <c r="F240" i="4"/>
  <c r="D240" i="4"/>
  <c r="E240" i="4" s="1"/>
  <c r="C240" i="4"/>
  <c r="B240" i="4"/>
  <c r="A240" i="4"/>
  <c r="G239" i="4"/>
  <c r="F239" i="4"/>
  <c r="D239" i="4"/>
  <c r="E239" i="4" s="1"/>
  <c r="C239" i="4"/>
  <c r="B239" i="4"/>
  <c r="A239" i="4"/>
  <c r="G238" i="4"/>
  <c r="F238" i="4"/>
  <c r="D238" i="4"/>
  <c r="E238" i="4" s="1"/>
  <c r="C238" i="4"/>
  <c r="B238" i="4"/>
  <c r="A238" i="4"/>
  <c r="G237" i="4"/>
  <c r="F237" i="4"/>
  <c r="D237" i="4"/>
  <c r="E237" i="4" s="1"/>
  <c r="C237" i="4"/>
  <c r="B237" i="4"/>
  <c r="A237" i="4"/>
  <c r="G236" i="4"/>
  <c r="F236" i="4"/>
  <c r="D236" i="4"/>
  <c r="E236" i="4" s="1"/>
  <c r="C236" i="4"/>
  <c r="B236" i="4"/>
  <c r="A236" i="4"/>
  <c r="G235" i="4"/>
  <c r="F235" i="4"/>
  <c r="D235" i="4"/>
  <c r="E235" i="4" s="1"/>
  <c r="C235" i="4"/>
  <c r="B235" i="4"/>
  <c r="A235" i="4"/>
  <c r="G234" i="4"/>
  <c r="F234" i="4"/>
  <c r="D234" i="4"/>
  <c r="E234" i="4" s="1"/>
  <c r="C234" i="4"/>
  <c r="B234" i="4"/>
  <c r="A234" i="4"/>
  <c r="G233" i="4"/>
  <c r="F233" i="4"/>
  <c r="D233" i="4"/>
  <c r="E233" i="4" s="1"/>
  <c r="C233" i="4"/>
  <c r="B233" i="4"/>
  <c r="A233" i="4"/>
  <c r="G232" i="4"/>
  <c r="F232" i="4"/>
  <c r="D232" i="4"/>
  <c r="E232" i="4" s="1"/>
  <c r="C232" i="4"/>
  <c r="B232" i="4"/>
  <c r="A232" i="4"/>
  <c r="G231" i="4"/>
  <c r="F231" i="4"/>
  <c r="D231" i="4"/>
  <c r="E231" i="4" s="1"/>
  <c r="C231" i="4"/>
  <c r="B231" i="4"/>
  <c r="A231" i="4"/>
  <c r="G230" i="4"/>
  <c r="F230" i="4"/>
  <c r="D230" i="4"/>
  <c r="E230" i="4" s="1"/>
  <c r="C230" i="4"/>
  <c r="B230" i="4"/>
  <c r="A230" i="4"/>
  <c r="G229" i="4"/>
  <c r="F229" i="4"/>
  <c r="D229" i="4"/>
  <c r="E229" i="4" s="1"/>
  <c r="C229" i="4"/>
  <c r="B229" i="4"/>
  <c r="A229" i="4"/>
  <c r="G228" i="4"/>
  <c r="F228" i="4"/>
  <c r="D228" i="4"/>
  <c r="E228" i="4" s="1"/>
  <c r="C228" i="4"/>
  <c r="B228" i="4"/>
  <c r="A228" i="4"/>
  <c r="G227" i="4"/>
  <c r="F227" i="4"/>
  <c r="D227" i="4"/>
  <c r="E227" i="4" s="1"/>
  <c r="C227" i="4"/>
  <c r="B227" i="4"/>
  <c r="A227" i="4"/>
  <c r="G226" i="4"/>
  <c r="F226" i="4"/>
  <c r="D226" i="4"/>
  <c r="E226" i="4" s="1"/>
  <c r="C226" i="4"/>
  <c r="B226" i="4"/>
  <c r="A226" i="4"/>
  <c r="G225" i="4"/>
  <c r="F225" i="4"/>
  <c r="D225" i="4"/>
  <c r="E225" i="4" s="1"/>
  <c r="C225" i="4"/>
  <c r="B225" i="4"/>
  <c r="A225" i="4"/>
  <c r="G224" i="4"/>
  <c r="F224" i="4"/>
  <c r="D224" i="4"/>
  <c r="E224" i="4" s="1"/>
  <c r="C224" i="4"/>
  <c r="B224" i="4"/>
  <c r="A224" i="4"/>
  <c r="G223" i="4"/>
  <c r="F223" i="4"/>
  <c r="D223" i="4"/>
  <c r="E223" i="4" s="1"/>
  <c r="C223" i="4"/>
  <c r="B223" i="4"/>
  <c r="A223" i="4"/>
  <c r="G222" i="4"/>
  <c r="F222" i="4"/>
  <c r="D222" i="4"/>
  <c r="E222" i="4" s="1"/>
  <c r="C222" i="4"/>
  <c r="B222" i="4"/>
  <c r="A222" i="4"/>
  <c r="G221" i="4"/>
  <c r="F221" i="4"/>
  <c r="D221" i="4"/>
  <c r="E221" i="4" s="1"/>
  <c r="C221" i="4"/>
  <c r="B221" i="4"/>
  <c r="A221" i="4"/>
  <c r="G220" i="4"/>
  <c r="F220" i="4"/>
  <c r="D220" i="4"/>
  <c r="E220" i="4" s="1"/>
  <c r="C220" i="4"/>
  <c r="B220" i="4"/>
  <c r="A220" i="4"/>
  <c r="G219" i="4"/>
  <c r="F219" i="4"/>
  <c r="D219" i="4"/>
  <c r="E219" i="4" s="1"/>
  <c r="C219" i="4"/>
  <c r="B219" i="4"/>
  <c r="A219" i="4"/>
  <c r="G218" i="4"/>
  <c r="F218" i="4"/>
  <c r="D218" i="4"/>
  <c r="E218" i="4" s="1"/>
  <c r="C218" i="4"/>
  <c r="B218" i="4"/>
  <c r="A218" i="4"/>
  <c r="G217" i="4"/>
  <c r="F217" i="4"/>
  <c r="D217" i="4"/>
  <c r="E217" i="4" s="1"/>
  <c r="C217" i="4"/>
  <c r="B217" i="4"/>
  <c r="A217" i="4"/>
  <c r="G216" i="4"/>
  <c r="F216" i="4"/>
  <c r="D216" i="4"/>
  <c r="E216" i="4" s="1"/>
  <c r="C216" i="4"/>
  <c r="B216" i="4"/>
  <c r="A216" i="4"/>
  <c r="G215" i="4"/>
  <c r="F215" i="4"/>
  <c r="D215" i="4"/>
  <c r="E215" i="4" s="1"/>
  <c r="C215" i="4"/>
  <c r="B215" i="4"/>
  <c r="A215" i="4"/>
  <c r="G214" i="4"/>
  <c r="F214" i="4"/>
  <c r="D214" i="4"/>
  <c r="E214" i="4" s="1"/>
  <c r="C214" i="4"/>
  <c r="B214" i="4"/>
  <c r="A214" i="4"/>
  <c r="G213" i="4"/>
  <c r="F213" i="4"/>
  <c r="D213" i="4"/>
  <c r="E213" i="4" s="1"/>
  <c r="C213" i="4"/>
  <c r="B213" i="4"/>
  <c r="A213" i="4"/>
  <c r="G212" i="4"/>
  <c r="F212" i="4"/>
  <c r="D212" i="4"/>
  <c r="E212" i="4" s="1"/>
  <c r="C212" i="4"/>
  <c r="B212" i="4"/>
  <c r="A212" i="4"/>
  <c r="G211" i="4"/>
  <c r="F211" i="4"/>
  <c r="D211" i="4"/>
  <c r="E211" i="4" s="1"/>
  <c r="C211" i="4"/>
  <c r="B211" i="4"/>
  <c r="A211" i="4"/>
  <c r="G210" i="4"/>
  <c r="F210" i="4"/>
  <c r="D210" i="4"/>
  <c r="E210" i="4" s="1"/>
  <c r="C210" i="4"/>
  <c r="B210" i="4"/>
  <c r="A210" i="4"/>
  <c r="G209" i="4"/>
  <c r="F209" i="4"/>
  <c r="D209" i="4"/>
  <c r="E209" i="4" s="1"/>
  <c r="C209" i="4"/>
  <c r="B209" i="4"/>
  <c r="A209" i="4"/>
  <c r="G208" i="4"/>
  <c r="F208" i="4"/>
  <c r="D208" i="4"/>
  <c r="E208" i="4" s="1"/>
  <c r="C208" i="4"/>
  <c r="B208" i="4"/>
  <c r="A208" i="4"/>
  <c r="G207" i="4"/>
  <c r="F207" i="4"/>
  <c r="D207" i="4"/>
  <c r="E207" i="4" s="1"/>
  <c r="C207" i="4"/>
  <c r="B207" i="4"/>
  <c r="A207" i="4"/>
  <c r="G206" i="4"/>
  <c r="F206" i="4"/>
  <c r="D206" i="4"/>
  <c r="E206" i="4" s="1"/>
  <c r="C206" i="4"/>
  <c r="B206" i="4"/>
  <c r="A206" i="4"/>
  <c r="G205" i="4"/>
  <c r="F205" i="4"/>
  <c r="D205" i="4"/>
  <c r="E205" i="4" s="1"/>
  <c r="C205" i="4"/>
  <c r="B205" i="4"/>
  <c r="A205" i="4"/>
  <c r="G204" i="4"/>
  <c r="F204" i="4"/>
  <c r="D204" i="4"/>
  <c r="E204" i="4" s="1"/>
  <c r="C204" i="4"/>
  <c r="B204" i="4"/>
  <c r="A204" i="4"/>
  <c r="G203" i="4"/>
  <c r="F203" i="4"/>
  <c r="D203" i="4"/>
  <c r="E203" i="4" s="1"/>
  <c r="C203" i="4"/>
  <c r="B203" i="4"/>
  <c r="A203" i="4"/>
  <c r="G202" i="4"/>
  <c r="F202" i="4"/>
  <c r="D202" i="4"/>
  <c r="E202" i="4" s="1"/>
  <c r="C202" i="4"/>
  <c r="B202" i="4"/>
  <c r="A202" i="4"/>
  <c r="G201" i="4"/>
  <c r="F201" i="4"/>
  <c r="D201" i="4"/>
  <c r="E201" i="4" s="1"/>
  <c r="C201" i="4"/>
  <c r="B201" i="4"/>
  <c r="A201" i="4"/>
  <c r="G200" i="4"/>
  <c r="F200" i="4"/>
  <c r="D200" i="4"/>
  <c r="E200" i="4" s="1"/>
  <c r="C200" i="4"/>
  <c r="B200" i="4"/>
  <c r="A200" i="4"/>
  <c r="G199" i="4"/>
  <c r="F199" i="4"/>
  <c r="D199" i="4"/>
  <c r="E199" i="4" s="1"/>
  <c r="C199" i="4"/>
  <c r="B199" i="4"/>
  <c r="A199" i="4"/>
  <c r="G198" i="4"/>
  <c r="F198" i="4"/>
  <c r="D198" i="4"/>
  <c r="E198" i="4" s="1"/>
  <c r="C198" i="4"/>
  <c r="B198" i="4"/>
  <c r="A198" i="4"/>
  <c r="G197" i="4"/>
  <c r="F197" i="4"/>
  <c r="D197" i="4"/>
  <c r="E197" i="4" s="1"/>
  <c r="C197" i="4"/>
  <c r="B197" i="4"/>
  <c r="A197" i="4"/>
  <c r="G196" i="4"/>
  <c r="F196" i="4"/>
  <c r="D196" i="4"/>
  <c r="E196" i="4" s="1"/>
  <c r="C196" i="4"/>
  <c r="B196" i="4"/>
  <c r="A196" i="4"/>
  <c r="G195" i="4"/>
  <c r="F195" i="4"/>
  <c r="D195" i="4"/>
  <c r="E195" i="4" s="1"/>
  <c r="C195" i="4"/>
  <c r="B195" i="4"/>
  <c r="A195" i="4"/>
  <c r="G194" i="4"/>
  <c r="F194" i="4"/>
  <c r="D194" i="4"/>
  <c r="E194" i="4" s="1"/>
  <c r="C194" i="4"/>
  <c r="B194" i="4"/>
  <c r="A194" i="4"/>
  <c r="G193" i="4"/>
  <c r="F193" i="4"/>
  <c r="D193" i="4"/>
  <c r="E193" i="4" s="1"/>
  <c r="C193" i="4"/>
  <c r="B193" i="4"/>
  <c r="A193" i="4"/>
  <c r="G192" i="4"/>
  <c r="F192" i="4"/>
  <c r="D192" i="4"/>
  <c r="E192" i="4" s="1"/>
  <c r="C192" i="4"/>
  <c r="B192" i="4"/>
  <c r="A192" i="4"/>
  <c r="G191" i="4"/>
  <c r="F191" i="4"/>
  <c r="D191" i="4"/>
  <c r="E191" i="4" s="1"/>
  <c r="C191" i="4"/>
  <c r="B191" i="4"/>
  <c r="A191" i="4"/>
  <c r="G190" i="4"/>
  <c r="F190" i="4"/>
  <c r="D190" i="4"/>
  <c r="E190" i="4" s="1"/>
  <c r="C190" i="4"/>
  <c r="B190" i="4"/>
  <c r="A190" i="4"/>
  <c r="G189" i="4"/>
  <c r="F189" i="4"/>
  <c r="D189" i="4"/>
  <c r="E189" i="4" s="1"/>
  <c r="C189" i="4"/>
  <c r="B189" i="4"/>
  <c r="A189" i="4"/>
  <c r="G188" i="4"/>
  <c r="F188" i="4"/>
  <c r="D188" i="4"/>
  <c r="E188" i="4" s="1"/>
  <c r="C188" i="4"/>
  <c r="B188" i="4"/>
  <c r="A188" i="4"/>
  <c r="G187" i="4"/>
  <c r="F187" i="4"/>
  <c r="D187" i="4"/>
  <c r="E187" i="4" s="1"/>
  <c r="C187" i="4"/>
  <c r="B187" i="4"/>
  <c r="A187" i="4"/>
  <c r="G186" i="4"/>
  <c r="F186" i="4"/>
  <c r="D186" i="4"/>
  <c r="E186" i="4" s="1"/>
  <c r="C186" i="4"/>
  <c r="B186" i="4"/>
  <c r="A186" i="4"/>
  <c r="G185" i="4"/>
  <c r="F185" i="4"/>
  <c r="D185" i="4"/>
  <c r="E185" i="4" s="1"/>
  <c r="C185" i="4"/>
  <c r="B185" i="4"/>
  <c r="A185" i="4"/>
  <c r="G184" i="4"/>
  <c r="F184" i="4"/>
  <c r="D184" i="4"/>
  <c r="E184" i="4" s="1"/>
  <c r="C184" i="4"/>
  <c r="B184" i="4"/>
  <c r="A184" i="4"/>
  <c r="G183" i="4"/>
  <c r="F183" i="4"/>
  <c r="D183" i="4"/>
  <c r="E183" i="4" s="1"/>
  <c r="C183" i="4"/>
  <c r="B183" i="4"/>
  <c r="A183" i="4"/>
  <c r="G182" i="4"/>
  <c r="F182" i="4"/>
  <c r="D182" i="4"/>
  <c r="E182" i="4" s="1"/>
  <c r="C182" i="4"/>
  <c r="B182" i="4"/>
  <c r="A182" i="4"/>
  <c r="G181" i="4"/>
  <c r="F181" i="4"/>
  <c r="D181" i="4"/>
  <c r="E181" i="4" s="1"/>
  <c r="C181" i="4"/>
  <c r="B181" i="4"/>
  <c r="A181" i="4"/>
  <c r="G180" i="4"/>
  <c r="F180" i="4"/>
  <c r="D180" i="4"/>
  <c r="E180" i="4" s="1"/>
  <c r="C180" i="4"/>
  <c r="B180" i="4"/>
  <c r="A180" i="4"/>
  <c r="G179" i="4"/>
  <c r="F179" i="4"/>
  <c r="D179" i="4"/>
  <c r="E179" i="4" s="1"/>
  <c r="C179" i="4"/>
  <c r="B179" i="4"/>
  <c r="A179" i="4"/>
  <c r="G178" i="4"/>
  <c r="F178" i="4"/>
  <c r="D178" i="4"/>
  <c r="E178" i="4" s="1"/>
  <c r="C178" i="4"/>
  <c r="B178" i="4"/>
  <c r="A178" i="4"/>
  <c r="G177" i="4"/>
  <c r="F177" i="4"/>
  <c r="D177" i="4"/>
  <c r="E177" i="4" s="1"/>
  <c r="C177" i="4"/>
  <c r="B177" i="4"/>
  <c r="A177" i="4"/>
  <c r="G176" i="4"/>
  <c r="F176" i="4"/>
  <c r="D176" i="4"/>
  <c r="E176" i="4" s="1"/>
  <c r="C176" i="4"/>
  <c r="B176" i="4"/>
  <c r="A176" i="4"/>
  <c r="G175" i="4"/>
  <c r="F175" i="4"/>
  <c r="D175" i="4"/>
  <c r="E175" i="4" s="1"/>
  <c r="C175" i="4"/>
  <c r="B175" i="4"/>
  <c r="A175" i="4"/>
  <c r="G174" i="4"/>
  <c r="F174" i="4"/>
  <c r="D174" i="4"/>
  <c r="E174" i="4" s="1"/>
  <c r="C174" i="4"/>
  <c r="B174" i="4"/>
  <c r="A174" i="4"/>
  <c r="G173" i="4"/>
  <c r="F173" i="4"/>
  <c r="D173" i="4"/>
  <c r="E173" i="4" s="1"/>
  <c r="C173" i="4"/>
  <c r="B173" i="4"/>
  <c r="A173" i="4"/>
  <c r="G172" i="4"/>
  <c r="F172" i="4"/>
  <c r="D172" i="4"/>
  <c r="E172" i="4" s="1"/>
  <c r="C172" i="4"/>
  <c r="B172" i="4"/>
  <c r="A172" i="4"/>
  <c r="G171" i="4"/>
  <c r="F171" i="4"/>
  <c r="D171" i="4"/>
  <c r="E171" i="4" s="1"/>
  <c r="C171" i="4"/>
  <c r="B171" i="4"/>
  <c r="A171" i="4"/>
  <c r="G170" i="4"/>
  <c r="F170" i="4"/>
  <c r="D170" i="4"/>
  <c r="E170" i="4" s="1"/>
  <c r="C170" i="4"/>
  <c r="B170" i="4"/>
  <c r="A170" i="4"/>
  <c r="G169" i="4"/>
  <c r="F169" i="4"/>
  <c r="D169" i="4"/>
  <c r="E169" i="4" s="1"/>
  <c r="C169" i="4"/>
  <c r="B169" i="4"/>
  <c r="A169" i="4"/>
  <c r="G168" i="4"/>
  <c r="F168" i="4"/>
  <c r="D168" i="4"/>
  <c r="E168" i="4" s="1"/>
  <c r="C168" i="4"/>
  <c r="B168" i="4"/>
  <c r="A168" i="4"/>
  <c r="G167" i="4"/>
  <c r="F167" i="4"/>
  <c r="D167" i="4"/>
  <c r="E167" i="4" s="1"/>
  <c r="C167" i="4"/>
  <c r="B167" i="4"/>
  <c r="A167" i="4"/>
  <c r="G166" i="4"/>
  <c r="F166" i="4"/>
  <c r="D166" i="4"/>
  <c r="E166" i="4" s="1"/>
  <c r="C166" i="4"/>
  <c r="B166" i="4"/>
  <c r="A166" i="4"/>
  <c r="G165" i="4"/>
  <c r="F165" i="4"/>
  <c r="D165" i="4"/>
  <c r="E165" i="4" s="1"/>
  <c r="C165" i="4"/>
  <c r="B165" i="4"/>
  <c r="A165" i="4"/>
  <c r="G164" i="4"/>
  <c r="F164" i="4"/>
  <c r="D164" i="4"/>
  <c r="E164" i="4" s="1"/>
  <c r="C164" i="4"/>
  <c r="B164" i="4"/>
  <c r="A164" i="4"/>
  <c r="G163" i="4"/>
  <c r="F163" i="4"/>
  <c r="D163" i="4"/>
  <c r="E163" i="4" s="1"/>
  <c r="C163" i="4"/>
  <c r="B163" i="4"/>
  <c r="A163" i="4"/>
  <c r="G162" i="4"/>
  <c r="F162" i="4"/>
  <c r="D162" i="4"/>
  <c r="E162" i="4" s="1"/>
  <c r="C162" i="4"/>
  <c r="B162" i="4"/>
  <c r="A162" i="4"/>
  <c r="G161" i="4"/>
  <c r="F161" i="4"/>
  <c r="D161" i="4"/>
  <c r="E161" i="4" s="1"/>
  <c r="C161" i="4"/>
  <c r="B161" i="4"/>
  <c r="A161" i="4"/>
  <c r="G160" i="4"/>
  <c r="F160" i="4"/>
  <c r="D160" i="4"/>
  <c r="E160" i="4" s="1"/>
  <c r="C160" i="4"/>
  <c r="B160" i="4"/>
  <c r="A160" i="4"/>
  <c r="G159" i="4"/>
  <c r="F159" i="4"/>
  <c r="D159" i="4"/>
  <c r="E159" i="4" s="1"/>
  <c r="C159" i="4"/>
  <c r="B159" i="4"/>
  <c r="A159" i="4"/>
  <c r="G158" i="4"/>
  <c r="F158" i="4"/>
  <c r="D158" i="4"/>
  <c r="E158" i="4" s="1"/>
  <c r="C158" i="4"/>
  <c r="B158" i="4"/>
  <c r="A158" i="4"/>
  <c r="G157" i="4"/>
  <c r="F157" i="4"/>
  <c r="D157" i="4"/>
  <c r="E157" i="4" s="1"/>
  <c r="C157" i="4"/>
  <c r="B157" i="4"/>
  <c r="A157" i="4"/>
  <c r="G156" i="4"/>
  <c r="F156" i="4"/>
  <c r="D156" i="4"/>
  <c r="E156" i="4" s="1"/>
  <c r="C156" i="4"/>
  <c r="B156" i="4"/>
  <c r="A156" i="4"/>
  <c r="G155" i="4"/>
  <c r="F155" i="4"/>
  <c r="D155" i="4"/>
  <c r="E155" i="4" s="1"/>
  <c r="C155" i="4"/>
  <c r="B155" i="4"/>
  <c r="A155" i="4"/>
  <c r="G154" i="4"/>
  <c r="F154" i="4"/>
  <c r="D154" i="4"/>
  <c r="E154" i="4" s="1"/>
  <c r="C154" i="4"/>
  <c r="B154" i="4"/>
  <c r="A154" i="4"/>
  <c r="G153" i="4"/>
  <c r="F153" i="4"/>
  <c r="D153" i="4"/>
  <c r="E153" i="4" s="1"/>
  <c r="C153" i="4"/>
  <c r="B153" i="4"/>
  <c r="A153" i="4"/>
  <c r="G152" i="4"/>
  <c r="F152" i="4"/>
  <c r="D152" i="4"/>
  <c r="E152" i="4" s="1"/>
  <c r="C152" i="4"/>
  <c r="B152" i="4"/>
  <c r="A152" i="4"/>
  <c r="G151" i="4"/>
  <c r="F151" i="4"/>
  <c r="D151" i="4"/>
  <c r="E151" i="4" s="1"/>
  <c r="C151" i="4"/>
  <c r="B151" i="4"/>
  <c r="A151" i="4"/>
  <c r="G150" i="4"/>
  <c r="F150" i="4"/>
  <c r="D150" i="4"/>
  <c r="E150" i="4" s="1"/>
  <c r="C150" i="4"/>
  <c r="B150" i="4"/>
  <c r="A150" i="4"/>
  <c r="G149" i="4"/>
  <c r="F149" i="4"/>
  <c r="D149" i="4"/>
  <c r="E149" i="4" s="1"/>
  <c r="C149" i="4"/>
  <c r="B149" i="4"/>
  <c r="A149" i="4"/>
  <c r="G148" i="4"/>
  <c r="F148" i="4"/>
  <c r="D148" i="4"/>
  <c r="E148" i="4" s="1"/>
  <c r="C148" i="4"/>
  <c r="B148" i="4"/>
  <c r="A148" i="4"/>
  <c r="G147" i="4"/>
  <c r="F147" i="4"/>
  <c r="D147" i="4"/>
  <c r="E147" i="4" s="1"/>
  <c r="C147" i="4"/>
  <c r="B147" i="4"/>
  <c r="A147" i="4"/>
  <c r="G146" i="4"/>
  <c r="F146" i="4"/>
  <c r="D146" i="4"/>
  <c r="E146" i="4" s="1"/>
  <c r="C146" i="4"/>
  <c r="B146" i="4"/>
  <c r="A146" i="4"/>
  <c r="G145" i="4"/>
  <c r="F145" i="4"/>
  <c r="D145" i="4"/>
  <c r="E145" i="4" s="1"/>
  <c r="C145" i="4"/>
  <c r="B145" i="4"/>
  <c r="A145" i="4"/>
  <c r="G144" i="4"/>
  <c r="F144" i="4"/>
  <c r="D144" i="4"/>
  <c r="E144" i="4" s="1"/>
  <c r="C144" i="4"/>
  <c r="B144" i="4"/>
  <c r="A144" i="4"/>
  <c r="G143" i="4"/>
  <c r="F143" i="4"/>
  <c r="D143" i="4"/>
  <c r="E143" i="4" s="1"/>
  <c r="C143" i="4"/>
  <c r="B143" i="4"/>
  <c r="A143" i="4"/>
  <c r="G142" i="4"/>
  <c r="F142" i="4"/>
  <c r="D142" i="4"/>
  <c r="E142" i="4" s="1"/>
  <c r="C142" i="4"/>
  <c r="B142" i="4"/>
  <c r="A142" i="4"/>
  <c r="G141" i="4"/>
  <c r="F141" i="4"/>
  <c r="D141" i="4"/>
  <c r="E141" i="4" s="1"/>
  <c r="C141" i="4"/>
  <c r="B141" i="4"/>
  <c r="A141" i="4"/>
  <c r="G140" i="4"/>
  <c r="F140" i="4"/>
  <c r="D140" i="4"/>
  <c r="E140" i="4" s="1"/>
  <c r="C140" i="4"/>
  <c r="B140" i="4"/>
  <c r="A140" i="4"/>
  <c r="G139" i="4"/>
  <c r="F139" i="4"/>
  <c r="D139" i="4"/>
  <c r="E139" i="4" s="1"/>
  <c r="C139" i="4"/>
  <c r="B139" i="4"/>
  <c r="A139" i="4"/>
  <c r="G138" i="4"/>
  <c r="F138" i="4"/>
  <c r="D138" i="4"/>
  <c r="E138" i="4" s="1"/>
  <c r="C138" i="4"/>
  <c r="B138" i="4"/>
  <c r="A138" i="4"/>
  <c r="G137" i="4"/>
  <c r="F137" i="4"/>
  <c r="D137" i="4"/>
  <c r="E137" i="4" s="1"/>
  <c r="C137" i="4"/>
  <c r="B137" i="4"/>
  <c r="A137" i="4"/>
  <c r="G136" i="4"/>
  <c r="F136" i="4"/>
  <c r="D136" i="4"/>
  <c r="E136" i="4" s="1"/>
  <c r="C136" i="4"/>
  <c r="B136" i="4"/>
  <c r="A136" i="4"/>
  <c r="G135" i="4"/>
  <c r="F135" i="4"/>
  <c r="D135" i="4"/>
  <c r="E135" i="4" s="1"/>
  <c r="C135" i="4"/>
  <c r="B135" i="4"/>
  <c r="A135" i="4"/>
  <c r="G134" i="4"/>
  <c r="F134" i="4"/>
  <c r="D134" i="4"/>
  <c r="E134" i="4" s="1"/>
  <c r="C134" i="4"/>
  <c r="B134" i="4"/>
  <c r="A134" i="4"/>
  <c r="G133" i="4"/>
  <c r="F133" i="4"/>
  <c r="D133" i="4"/>
  <c r="E133" i="4" s="1"/>
  <c r="C133" i="4"/>
  <c r="B133" i="4"/>
  <c r="A133" i="4"/>
  <c r="G132" i="4"/>
  <c r="F132" i="4"/>
  <c r="D132" i="4"/>
  <c r="E132" i="4" s="1"/>
  <c r="C132" i="4"/>
  <c r="B132" i="4"/>
  <c r="A132" i="4"/>
  <c r="G131" i="4"/>
  <c r="F131" i="4"/>
  <c r="D131" i="4"/>
  <c r="E131" i="4" s="1"/>
  <c r="C131" i="4"/>
  <c r="B131" i="4"/>
  <c r="A131" i="4"/>
  <c r="G130" i="4"/>
  <c r="F130" i="4"/>
  <c r="D130" i="4"/>
  <c r="E130" i="4" s="1"/>
  <c r="C130" i="4"/>
  <c r="B130" i="4"/>
  <c r="A130" i="4"/>
  <c r="G129" i="4"/>
  <c r="F129" i="4"/>
  <c r="D129" i="4"/>
  <c r="E129" i="4" s="1"/>
  <c r="C129" i="4"/>
  <c r="B129" i="4"/>
  <c r="A129" i="4"/>
  <c r="G128" i="4"/>
  <c r="F128" i="4"/>
  <c r="D128" i="4"/>
  <c r="E128" i="4" s="1"/>
  <c r="C128" i="4"/>
  <c r="B128" i="4"/>
  <c r="A128" i="4"/>
  <c r="G127" i="4"/>
  <c r="F127" i="4"/>
  <c r="D127" i="4"/>
  <c r="E127" i="4" s="1"/>
  <c r="C127" i="4"/>
  <c r="B127" i="4"/>
  <c r="A127" i="4"/>
  <c r="G126" i="4"/>
  <c r="F126" i="4"/>
  <c r="D126" i="4"/>
  <c r="E126" i="4" s="1"/>
  <c r="C126" i="4"/>
  <c r="B126" i="4"/>
  <c r="A126" i="4"/>
  <c r="G125" i="4"/>
  <c r="F125" i="4"/>
  <c r="D125" i="4"/>
  <c r="E125" i="4" s="1"/>
  <c r="C125" i="4"/>
  <c r="B125" i="4"/>
  <c r="A125" i="4"/>
  <c r="G124" i="4"/>
  <c r="F124" i="4"/>
  <c r="D124" i="4"/>
  <c r="E124" i="4" s="1"/>
  <c r="C124" i="4"/>
  <c r="B124" i="4"/>
  <c r="A124" i="4"/>
  <c r="G123" i="4"/>
  <c r="F123" i="4"/>
  <c r="D123" i="4"/>
  <c r="E123" i="4" s="1"/>
  <c r="C123" i="4"/>
  <c r="B123" i="4"/>
  <c r="A123" i="4"/>
  <c r="G122" i="4"/>
  <c r="F122" i="4"/>
  <c r="D122" i="4"/>
  <c r="E122" i="4" s="1"/>
  <c r="C122" i="4"/>
  <c r="B122" i="4"/>
  <c r="A122" i="4"/>
  <c r="G121" i="4"/>
  <c r="F121" i="4"/>
  <c r="D121" i="4"/>
  <c r="E121" i="4" s="1"/>
  <c r="C121" i="4"/>
  <c r="B121" i="4"/>
  <c r="A121" i="4"/>
  <c r="G120" i="4"/>
  <c r="F120" i="4"/>
  <c r="D120" i="4"/>
  <c r="E120" i="4" s="1"/>
  <c r="C120" i="4"/>
  <c r="B120" i="4"/>
  <c r="A120" i="4"/>
  <c r="G119" i="4"/>
  <c r="F119" i="4"/>
  <c r="D119" i="4"/>
  <c r="E119" i="4" s="1"/>
  <c r="C119" i="4"/>
  <c r="B119" i="4"/>
  <c r="A119" i="4"/>
  <c r="G118" i="4"/>
  <c r="F118" i="4"/>
  <c r="D118" i="4"/>
  <c r="E118" i="4" s="1"/>
  <c r="C118" i="4"/>
  <c r="B118" i="4"/>
  <c r="A118" i="4"/>
  <c r="G117" i="4"/>
  <c r="F117" i="4"/>
  <c r="D117" i="4"/>
  <c r="E117" i="4" s="1"/>
  <c r="C117" i="4"/>
  <c r="B117" i="4"/>
  <c r="A117" i="4"/>
  <c r="G116" i="4"/>
  <c r="F116" i="4"/>
  <c r="D116" i="4"/>
  <c r="E116" i="4" s="1"/>
  <c r="C116" i="4"/>
  <c r="B116" i="4"/>
  <c r="A116" i="4"/>
  <c r="G115" i="4"/>
  <c r="F115" i="4"/>
  <c r="D115" i="4"/>
  <c r="E115" i="4" s="1"/>
  <c r="C115" i="4"/>
  <c r="B115" i="4"/>
  <c r="A115" i="4"/>
  <c r="G114" i="4"/>
  <c r="F114" i="4"/>
  <c r="D114" i="4"/>
  <c r="E114" i="4" s="1"/>
  <c r="C114" i="4"/>
  <c r="B114" i="4"/>
  <c r="A114" i="4"/>
  <c r="G113" i="4"/>
  <c r="F113" i="4"/>
  <c r="D113" i="4"/>
  <c r="E113" i="4" s="1"/>
  <c r="C113" i="4"/>
  <c r="B113" i="4"/>
  <c r="A113" i="4"/>
  <c r="G112" i="4"/>
  <c r="F112" i="4"/>
  <c r="D112" i="4"/>
  <c r="E112" i="4" s="1"/>
  <c r="C112" i="4"/>
  <c r="B112" i="4"/>
  <c r="A112" i="4"/>
  <c r="G111" i="4"/>
  <c r="F111" i="4"/>
  <c r="D111" i="4"/>
  <c r="E111" i="4" s="1"/>
  <c r="C111" i="4"/>
  <c r="B111" i="4"/>
  <c r="A111" i="4"/>
  <c r="G110" i="4"/>
  <c r="F110" i="4"/>
  <c r="D110" i="4"/>
  <c r="E110" i="4" s="1"/>
  <c r="C110" i="4"/>
  <c r="B110" i="4"/>
  <c r="A110" i="4"/>
  <c r="G109" i="4"/>
  <c r="F109" i="4"/>
  <c r="D109" i="4"/>
  <c r="E109" i="4" s="1"/>
  <c r="C109" i="4"/>
  <c r="B109" i="4"/>
  <c r="A109" i="4"/>
  <c r="G108" i="4"/>
  <c r="F108" i="4"/>
  <c r="D108" i="4"/>
  <c r="E108" i="4" s="1"/>
  <c r="C108" i="4"/>
  <c r="B108" i="4"/>
  <c r="A108" i="4"/>
  <c r="G107" i="4"/>
  <c r="F107" i="4"/>
  <c r="D107" i="4"/>
  <c r="E107" i="4" s="1"/>
  <c r="C107" i="4"/>
  <c r="B107" i="4"/>
  <c r="A107" i="4"/>
  <c r="G106" i="4"/>
  <c r="F106" i="4"/>
  <c r="D106" i="4"/>
  <c r="E106" i="4" s="1"/>
  <c r="C106" i="4"/>
  <c r="B106" i="4"/>
  <c r="A106" i="4"/>
  <c r="G105" i="4"/>
  <c r="F105" i="4"/>
  <c r="D105" i="4"/>
  <c r="E105" i="4" s="1"/>
  <c r="C105" i="4"/>
  <c r="B105" i="4"/>
  <c r="A105" i="4"/>
  <c r="G104" i="4"/>
  <c r="F104" i="4"/>
  <c r="D104" i="4"/>
  <c r="E104" i="4" s="1"/>
  <c r="C104" i="4"/>
  <c r="B104" i="4"/>
  <c r="A104" i="4"/>
  <c r="G103" i="4"/>
  <c r="F103" i="4"/>
  <c r="D103" i="4"/>
  <c r="E103" i="4" s="1"/>
  <c r="C103" i="4"/>
  <c r="B103" i="4"/>
  <c r="A103" i="4"/>
  <c r="G102" i="4"/>
  <c r="F102" i="4"/>
  <c r="D102" i="4"/>
  <c r="E102" i="4" s="1"/>
  <c r="C102" i="4"/>
  <c r="B102" i="4"/>
  <c r="A102" i="4"/>
  <c r="G101" i="4"/>
  <c r="F101" i="4"/>
  <c r="D101" i="4"/>
  <c r="E101" i="4" s="1"/>
  <c r="C101" i="4"/>
  <c r="B101" i="4"/>
  <c r="A101" i="4"/>
  <c r="G100" i="4"/>
  <c r="F100" i="4"/>
  <c r="D100" i="4"/>
  <c r="E100" i="4" s="1"/>
  <c r="C100" i="4"/>
  <c r="B100" i="4"/>
  <c r="A100" i="4"/>
  <c r="G99" i="4"/>
  <c r="F99" i="4"/>
  <c r="D99" i="4"/>
  <c r="E99" i="4" s="1"/>
  <c r="C99" i="4"/>
  <c r="B99" i="4"/>
  <c r="A99" i="4"/>
  <c r="G98" i="4"/>
  <c r="F98" i="4"/>
  <c r="D98" i="4"/>
  <c r="E98" i="4" s="1"/>
  <c r="C98" i="4"/>
  <c r="B98" i="4"/>
  <c r="A98" i="4"/>
  <c r="G97" i="4"/>
  <c r="F97" i="4"/>
  <c r="D97" i="4"/>
  <c r="E97" i="4" s="1"/>
  <c r="C97" i="4"/>
  <c r="B97" i="4"/>
  <c r="A97" i="4"/>
  <c r="G96" i="4"/>
  <c r="F96" i="4"/>
  <c r="D96" i="4"/>
  <c r="E96" i="4" s="1"/>
  <c r="C96" i="4"/>
  <c r="B96" i="4"/>
  <c r="A96" i="4"/>
  <c r="G95" i="4"/>
  <c r="F95" i="4"/>
  <c r="D95" i="4"/>
  <c r="E95" i="4" s="1"/>
  <c r="C95" i="4"/>
  <c r="B95" i="4"/>
  <c r="A95" i="4"/>
  <c r="G94" i="4"/>
  <c r="F94" i="4"/>
  <c r="D94" i="4"/>
  <c r="E94" i="4" s="1"/>
  <c r="C94" i="4"/>
  <c r="B94" i="4"/>
  <c r="A94" i="4"/>
  <c r="G93" i="4"/>
  <c r="F93" i="4"/>
  <c r="D93" i="4"/>
  <c r="E93" i="4" s="1"/>
  <c r="C93" i="4"/>
  <c r="B93" i="4"/>
  <c r="A93" i="4"/>
  <c r="G92" i="4"/>
  <c r="F92" i="4"/>
  <c r="D92" i="4"/>
  <c r="E92" i="4" s="1"/>
  <c r="C92" i="4"/>
  <c r="B92" i="4"/>
  <c r="A92" i="4"/>
  <c r="G91" i="4"/>
  <c r="F91" i="4"/>
  <c r="D91" i="4"/>
  <c r="E91" i="4" s="1"/>
  <c r="C91" i="4"/>
  <c r="B91" i="4"/>
  <c r="A91" i="4"/>
  <c r="G90" i="4"/>
  <c r="F90" i="4"/>
  <c r="D90" i="4"/>
  <c r="E90" i="4" s="1"/>
  <c r="C90" i="4"/>
  <c r="B90" i="4"/>
  <c r="A90" i="4"/>
  <c r="G89" i="4"/>
  <c r="F89" i="4"/>
  <c r="D89" i="4"/>
  <c r="E89" i="4" s="1"/>
  <c r="C89" i="4"/>
  <c r="B89" i="4"/>
  <c r="A89" i="4"/>
  <c r="G88" i="4"/>
  <c r="F88" i="4"/>
  <c r="D88" i="4"/>
  <c r="E88" i="4" s="1"/>
  <c r="C88" i="4"/>
  <c r="B88" i="4"/>
  <c r="A88" i="4"/>
  <c r="G87" i="4"/>
  <c r="F87" i="4"/>
  <c r="D87" i="4"/>
  <c r="E87" i="4" s="1"/>
  <c r="C87" i="4"/>
  <c r="B87" i="4"/>
  <c r="A87" i="4"/>
  <c r="G86" i="4"/>
  <c r="F86" i="4"/>
  <c r="D86" i="4"/>
  <c r="E86" i="4" s="1"/>
  <c r="C86" i="4"/>
  <c r="B86" i="4"/>
  <c r="A86" i="4"/>
  <c r="G85" i="4"/>
  <c r="F85" i="4"/>
  <c r="D85" i="4"/>
  <c r="E85" i="4" s="1"/>
  <c r="C85" i="4"/>
  <c r="B85" i="4"/>
  <c r="A85" i="4"/>
  <c r="G84" i="4"/>
  <c r="F84" i="4"/>
  <c r="D84" i="4"/>
  <c r="E84" i="4" s="1"/>
  <c r="C84" i="4"/>
  <c r="B84" i="4"/>
  <c r="A84" i="4"/>
  <c r="G83" i="4"/>
  <c r="F83" i="4"/>
  <c r="D83" i="4"/>
  <c r="E83" i="4" s="1"/>
  <c r="C83" i="4"/>
  <c r="B83" i="4"/>
  <c r="A83" i="4"/>
  <c r="G82" i="4"/>
  <c r="F82" i="4"/>
  <c r="D82" i="4"/>
  <c r="E82" i="4" s="1"/>
  <c r="C82" i="4"/>
  <c r="B82" i="4"/>
  <c r="A82" i="4"/>
  <c r="G81" i="4"/>
  <c r="F81" i="4"/>
  <c r="D81" i="4"/>
  <c r="E81" i="4" s="1"/>
  <c r="C81" i="4"/>
  <c r="B81" i="4"/>
  <c r="A81" i="4"/>
  <c r="G80" i="4"/>
  <c r="F80" i="4"/>
  <c r="D80" i="4"/>
  <c r="E80" i="4" s="1"/>
  <c r="C80" i="4"/>
  <c r="B80" i="4"/>
  <c r="A80" i="4"/>
  <c r="G79" i="4"/>
  <c r="F79" i="4"/>
  <c r="D79" i="4"/>
  <c r="E79" i="4" s="1"/>
  <c r="C79" i="4"/>
  <c r="B79" i="4"/>
  <c r="A79" i="4"/>
  <c r="G78" i="4"/>
  <c r="F78" i="4"/>
  <c r="D78" i="4"/>
  <c r="E78" i="4" s="1"/>
  <c r="C78" i="4"/>
  <c r="B78" i="4"/>
  <c r="A78" i="4"/>
  <c r="G77" i="4"/>
  <c r="F77" i="4"/>
  <c r="D77" i="4"/>
  <c r="E77" i="4" s="1"/>
  <c r="C77" i="4"/>
  <c r="B77" i="4"/>
  <c r="A77" i="4"/>
  <c r="G76" i="4"/>
  <c r="F76" i="4"/>
  <c r="D76" i="4"/>
  <c r="E76" i="4" s="1"/>
  <c r="C76" i="4"/>
  <c r="B76" i="4"/>
  <c r="A76" i="4"/>
  <c r="G75" i="4"/>
  <c r="F75" i="4"/>
  <c r="D75" i="4"/>
  <c r="E75" i="4" s="1"/>
  <c r="C75" i="4"/>
  <c r="B75" i="4"/>
  <c r="A75" i="4"/>
  <c r="G74" i="4"/>
  <c r="F74" i="4"/>
  <c r="D74" i="4"/>
  <c r="E74" i="4" s="1"/>
  <c r="C74" i="4"/>
  <c r="B74" i="4"/>
  <c r="A74" i="4"/>
  <c r="G73" i="4"/>
  <c r="F73" i="4"/>
  <c r="D73" i="4"/>
  <c r="E73" i="4" s="1"/>
  <c r="C73" i="4"/>
  <c r="B73" i="4"/>
  <c r="A73" i="4"/>
  <c r="G72" i="4"/>
  <c r="F72" i="4"/>
  <c r="D72" i="4"/>
  <c r="E72" i="4" s="1"/>
  <c r="C72" i="4"/>
  <c r="B72" i="4"/>
  <c r="A72" i="4"/>
  <c r="G71" i="4"/>
  <c r="F71" i="4"/>
  <c r="D71" i="4"/>
  <c r="E71" i="4" s="1"/>
  <c r="C71" i="4"/>
  <c r="B71" i="4"/>
  <c r="A71" i="4"/>
  <c r="G70" i="4"/>
  <c r="F70" i="4"/>
  <c r="D70" i="4"/>
  <c r="E70" i="4" s="1"/>
  <c r="C70" i="4"/>
  <c r="B70" i="4"/>
  <c r="A70" i="4"/>
  <c r="G69" i="4"/>
  <c r="F69" i="4"/>
  <c r="D69" i="4"/>
  <c r="E69" i="4" s="1"/>
  <c r="C69" i="4"/>
  <c r="B69" i="4"/>
  <c r="A69" i="4"/>
  <c r="G68" i="4"/>
  <c r="F68" i="4"/>
  <c r="D68" i="4"/>
  <c r="E68" i="4" s="1"/>
  <c r="C68" i="4"/>
  <c r="B68" i="4"/>
  <c r="A68" i="4"/>
  <c r="G67" i="4"/>
  <c r="F67" i="4"/>
  <c r="E67" i="4"/>
  <c r="D67" i="4"/>
  <c r="C67" i="4"/>
  <c r="B67" i="4"/>
  <c r="A67" i="4"/>
  <c r="G66" i="4"/>
  <c r="F66" i="4"/>
  <c r="D66" i="4"/>
  <c r="E66" i="4" s="1"/>
  <c r="C66" i="4"/>
  <c r="B66" i="4"/>
  <c r="A66" i="4"/>
  <c r="G65" i="4"/>
  <c r="F65" i="4"/>
  <c r="D65" i="4"/>
  <c r="E65" i="4" s="1"/>
  <c r="C65" i="4"/>
  <c r="B65" i="4"/>
  <c r="A65" i="4"/>
  <c r="G64" i="4"/>
  <c r="F64" i="4"/>
  <c r="D64" i="4"/>
  <c r="E64" i="4" s="1"/>
  <c r="C64" i="4"/>
  <c r="B64" i="4"/>
  <c r="A64" i="4"/>
  <c r="G63" i="4"/>
  <c r="F63" i="4"/>
  <c r="D63" i="4"/>
  <c r="E63" i="4" s="1"/>
  <c r="C63" i="4"/>
  <c r="B63" i="4"/>
  <c r="A63" i="4"/>
  <c r="G62" i="4"/>
  <c r="F62" i="4"/>
  <c r="D62" i="4"/>
  <c r="E62" i="4" s="1"/>
  <c r="C62" i="4"/>
  <c r="B62" i="4"/>
  <c r="A62" i="4"/>
  <c r="G61" i="4"/>
  <c r="F61" i="4"/>
  <c r="D61" i="4"/>
  <c r="E61" i="4" s="1"/>
  <c r="C61" i="4"/>
  <c r="B61" i="4"/>
  <c r="A61" i="4"/>
  <c r="G60" i="4"/>
  <c r="F60" i="4"/>
  <c r="D60" i="4"/>
  <c r="E60" i="4" s="1"/>
  <c r="C60" i="4"/>
  <c r="B60" i="4"/>
  <c r="A60" i="4"/>
  <c r="G59" i="4"/>
  <c r="F59" i="4"/>
  <c r="D59" i="4"/>
  <c r="E59" i="4" s="1"/>
  <c r="C59" i="4"/>
  <c r="B59" i="4"/>
  <c r="A59" i="4"/>
  <c r="G58" i="4"/>
  <c r="F58" i="4"/>
  <c r="D58" i="4"/>
  <c r="E58" i="4" s="1"/>
  <c r="C58" i="4"/>
  <c r="B58" i="4"/>
  <c r="A58" i="4"/>
  <c r="G57" i="4"/>
  <c r="F57" i="4"/>
  <c r="D57" i="4"/>
  <c r="E57" i="4" s="1"/>
  <c r="C57" i="4"/>
  <c r="B57" i="4"/>
  <c r="A57" i="4"/>
  <c r="G56" i="4"/>
  <c r="F56" i="4"/>
  <c r="D56" i="4"/>
  <c r="E56" i="4" s="1"/>
  <c r="C56" i="4"/>
  <c r="B56" i="4"/>
  <c r="A56" i="4"/>
  <c r="G55" i="4"/>
  <c r="F55" i="4"/>
  <c r="D55" i="4"/>
  <c r="E55" i="4" s="1"/>
  <c r="C55" i="4"/>
  <c r="B55" i="4"/>
  <c r="A55" i="4"/>
  <c r="G54" i="4"/>
  <c r="F54" i="4"/>
  <c r="D54" i="4"/>
  <c r="E54" i="4" s="1"/>
  <c r="C54" i="4"/>
  <c r="B54" i="4"/>
  <c r="A54" i="4"/>
  <c r="G53" i="4"/>
  <c r="F53" i="4"/>
  <c r="D53" i="4"/>
  <c r="E53" i="4" s="1"/>
  <c r="C53" i="4"/>
  <c r="B53" i="4"/>
  <c r="A53" i="4"/>
  <c r="G52" i="4"/>
  <c r="F52" i="4"/>
  <c r="D52" i="4"/>
  <c r="E52" i="4" s="1"/>
  <c r="C52" i="4"/>
  <c r="B52" i="4"/>
  <c r="A52" i="4"/>
  <c r="G51" i="4"/>
  <c r="F51" i="4"/>
  <c r="D51" i="4"/>
  <c r="E51" i="4" s="1"/>
  <c r="C51" i="4"/>
  <c r="B51" i="4"/>
  <c r="A51" i="4"/>
  <c r="G50" i="4"/>
  <c r="F50" i="4"/>
  <c r="D50" i="4"/>
  <c r="E50" i="4" s="1"/>
  <c r="C50" i="4"/>
  <c r="B50" i="4"/>
  <c r="A50" i="4"/>
  <c r="G49" i="4"/>
  <c r="F49" i="4"/>
  <c r="D49" i="4"/>
  <c r="E49" i="4" s="1"/>
  <c r="C49" i="4"/>
  <c r="B49" i="4"/>
  <c r="A49" i="4"/>
  <c r="G48" i="4"/>
  <c r="F48" i="4"/>
  <c r="D48" i="4"/>
  <c r="E48" i="4" s="1"/>
  <c r="C48" i="4"/>
  <c r="B48" i="4"/>
  <c r="A48" i="4"/>
  <c r="G47" i="4"/>
  <c r="F47" i="4"/>
  <c r="D47" i="4"/>
  <c r="E47" i="4" s="1"/>
  <c r="C47" i="4"/>
  <c r="B47" i="4"/>
  <c r="A47" i="4"/>
  <c r="G46" i="4"/>
  <c r="F46" i="4"/>
  <c r="D46" i="4"/>
  <c r="E46" i="4" s="1"/>
  <c r="C46" i="4"/>
  <c r="B46" i="4"/>
  <c r="A46" i="4"/>
  <c r="G45" i="4"/>
  <c r="F45" i="4"/>
  <c r="D45" i="4"/>
  <c r="E45" i="4" s="1"/>
  <c r="C45" i="4"/>
  <c r="B45" i="4"/>
  <c r="A45" i="4"/>
  <c r="G44" i="4"/>
  <c r="F44" i="4"/>
  <c r="D44" i="4"/>
  <c r="E44" i="4" s="1"/>
  <c r="C44" i="4"/>
  <c r="B44" i="4"/>
  <c r="A44" i="4"/>
  <c r="G43" i="4"/>
  <c r="F43" i="4"/>
  <c r="D43" i="4"/>
  <c r="E43" i="4" s="1"/>
  <c r="C43" i="4"/>
  <c r="B43" i="4"/>
  <c r="A43" i="4"/>
  <c r="G42" i="4"/>
  <c r="F42" i="4"/>
  <c r="D42" i="4"/>
  <c r="E42" i="4" s="1"/>
  <c r="C42" i="4"/>
  <c r="B42" i="4"/>
  <c r="A42" i="4"/>
  <c r="G41" i="4"/>
  <c r="F41" i="4"/>
  <c r="D41" i="4"/>
  <c r="E41" i="4" s="1"/>
  <c r="C41" i="4"/>
  <c r="B41" i="4"/>
  <c r="A41" i="4"/>
  <c r="G40" i="4"/>
  <c r="F40" i="4"/>
  <c r="D40" i="4"/>
  <c r="E40" i="4" s="1"/>
  <c r="C40" i="4"/>
  <c r="B40" i="4"/>
  <c r="A40" i="4"/>
  <c r="G39" i="4"/>
  <c r="F39" i="4"/>
  <c r="D39" i="4"/>
  <c r="E39" i="4" s="1"/>
  <c r="C39" i="4"/>
  <c r="B39" i="4"/>
  <c r="A39" i="4"/>
  <c r="G38" i="4"/>
  <c r="F38" i="4"/>
  <c r="D38" i="4"/>
  <c r="E38" i="4" s="1"/>
  <c r="C38" i="4"/>
  <c r="B38" i="4"/>
  <c r="A38" i="4"/>
  <c r="G37" i="4"/>
  <c r="F37" i="4"/>
  <c r="D37" i="4"/>
  <c r="E37" i="4" s="1"/>
  <c r="C37" i="4"/>
  <c r="B37" i="4"/>
  <c r="A37" i="4"/>
  <c r="G36" i="4"/>
  <c r="F36" i="4"/>
  <c r="D36" i="4"/>
  <c r="E36" i="4" s="1"/>
  <c r="C36" i="4"/>
  <c r="B36" i="4"/>
  <c r="A36" i="4"/>
  <c r="G35" i="4"/>
  <c r="F35" i="4"/>
  <c r="D35" i="4"/>
  <c r="E35" i="4" s="1"/>
  <c r="C35" i="4"/>
  <c r="B35" i="4"/>
  <c r="A35" i="4"/>
  <c r="G34" i="4"/>
  <c r="F34" i="4"/>
  <c r="D34" i="4"/>
  <c r="E34" i="4" s="1"/>
  <c r="C34" i="4"/>
  <c r="B34" i="4"/>
  <c r="A34" i="4"/>
  <c r="G33" i="4"/>
  <c r="F33" i="4"/>
  <c r="D33" i="4"/>
  <c r="E33" i="4" s="1"/>
  <c r="C33" i="4"/>
  <c r="B33" i="4"/>
  <c r="A33" i="4"/>
  <c r="G32" i="4"/>
  <c r="F32" i="4"/>
  <c r="D32" i="4"/>
  <c r="E32" i="4" s="1"/>
  <c r="C32" i="4"/>
  <c r="B32" i="4"/>
  <c r="A32" i="4"/>
  <c r="G31" i="4"/>
  <c r="F31" i="4"/>
  <c r="D31" i="4"/>
  <c r="E31" i="4" s="1"/>
  <c r="C31" i="4"/>
  <c r="B31" i="4"/>
  <c r="A31" i="4"/>
  <c r="G30" i="4"/>
  <c r="F30" i="4"/>
  <c r="D30" i="4"/>
  <c r="E30" i="4" s="1"/>
  <c r="C30" i="4"/>
  <c r="B30" i="4"/>
  <c r="A30" i="4"/>
  <c r="G29" i="4"/>
  <c r="F29" i="4"/>
  <c r="D29" i="4"/>
  <c r="E29" i="4" s="1"/>
  <c r="C29" i="4"/>
  <c r="B29" i="4"/>
  <c r="A29" i="4"/>
  <c r="G28" i="4"/>
  <c r="F28" i="4"/>
  <c r="D28" i="4"/>
  <c r="E28" i="4" s="1"/>
  <c r="C28" i="4"/>
  <c r="B28" i="4"/>
  <c r="A28" i="4"/>
  <c r="G27" i="4"/>
  <c r="F27" i="4"/>
  <c r="D27" i="4"/>
  <c r="E27" i="4" s="1"/>
  <c r="C27" i="4"/>
  <c r="B27" i="4"/>
  <c r="A27" i="4"/>
  <c r="G26" i="4"/>
  <c r="F26" i="4"/>
  <c r="D26" i="4"/>
  <c r="E26" i="4" s="1"/>
  <c r="C26" i="4"/>
  <c r="B26" i="4"/>
  <c r="A26" i="4"/>
  <c r="G25" i="4"/>
  <c r="F25" i="4"/>
  <c r="D25" i="4"/>
  <c r="E25" i="4" s="1"/>
  <c r="C25" i="4"/>
  <c r="B25" i="4"/>
  <c r="A25" i="4"/>
  <c r="G24" i="4"/>
  <c r="F24" i="4"/>
  <c r="D24" i="4"/>
  <c r="E24" i="4" s="1"/>
  <c r="C24" i="4"/>
  <c r="B24" i="4"/>
  <c r="A24" i="4"/>
  <c r="G23" i="4"/>
  <c r="F23" i="4"/>
  <c r="D23" i="4"/>
  <c r="E23" i="4" s="1"/>
  <c r="C23" i="4"/>
  <c r="B23" i="4"/>
  <c r="A23" i="4"/>
  <c r="G22" i="4"/>
  <c r="F22" i="4"/>
  <c r="D22" i="4"/>
  <c r="E22" i="4" s="1"/>
  <c r="C22" i="4"/>
  <c r="B22" i="4"/>
  <c r="A22" i="4"/>
  <c r="G21" i="4"/>
  <c r="F21" i="4"/>
  <c r="D21" i="4"/>
  <c r="E21" i="4" s="1"/>
  <c r="C21" i="4"/>
  <c r="B21" i="4"/>
  <c r="A21" i="4"/>
  <c r="G20" i="4"/>
  <c r="F20" i="4"/>
  <c r="D20" i="4"/>
  <c r="E20" i="4" s="1"/>
  <c r="C20" i="4"/>
  <c r="B20" i="4"/>
  <c r="A20" i="4"/>
  <c r="G19" i="4"/>
  <c r="F19" i="4"/>
  <c r="D19" i="4"/>
  <c r="E19" i="4" s="1"/>
  <c r="C19" i="4"/>
  <c r="B19" i="4"/>
  <c r="A19" i="4"/>
  <c r="G18" i="4"/>
  <c r="F18" i="4"/>
  <c r="D18" i="4"/>
  <c r="E18" i="4" s="1"/>
  <c r="C18" i="4"/>
  <c r="B18" i="4"/>
  <c r="A18" i="4"/>
  <c r="G17" i="4"/>
  <c r="F17" i="4"/>
  <c r="D17" i="4"/>
  <c r="E17" i="4" s="1"/>
  <c r="C17" i="4"/>
  <c r="B17" i="4"/>
  <c r="A17" i="4"/>
  <c r="G16" i="4"/>
  <c r="F16" i="4"/>
  <c r="D16" i="4"/>
  <c r="E16" i="4" s="1"/>
  <c r="C16" i="4"/>
  <c r="B16" i="4"/>
  <c r="A16" i="4"/>
  <c r="G15" i="4"/>
  <c r="F15" i="4"/>
  <c r="D15" i="4"/>
  <c r="E15" i="4" s="1"/>
  <c r="C15" i="4"/>
  <c r="B15" i="4"/>
  <c r="A15" i="4"/>
  <c r="G14" i="4"/>
  <c r="F14" i="4"/>
  <c r="D14" i="4"/>
  <c r="E14" i="4" s="1"/>
  <c r="C14" i="4"/>
  <c r="B14" i="4"/>
  <c r="A14" i="4"/>
  <c r="G13" i="4"/>
  <c r="F13" i="4"/>
  <c r="D13" i="4"/>
  <c r="E13" i="4" s="1"/>
  <c r="C13" i="4"/>
  <c r="B13" i="4"/>
  <c r="A13" i="4"/>
  <c r="G12" i="4"/>
  <c r="F12" i="4"/>
  <c r="D12" i="4"/>
  <c r="E12" i="4" s="1"/>
  <c r="C12" i="4"/>
  <c r="B12" i="4"/>
  <c r="A12" i="4"/>
  <c r="G11" i="4"/>
  <c r="F11" i="4"/>
  <c r="D11" i="4"/>
  <c r="E11" i="4" s="1"/>
  <c r="C11" i="4"/>
  <c r="B11" i="4"/>
  <c r="A11" i="4"/>
  <c r="G10" i="4"/>
  <c r="F10" i="4"/>
  <c r="D10" i="4"/>
  <c r="C10" i="4"/>
  <c r="B10" i="4"/>
  <c r="A10" i="4"/>
  <c r="G9" i="4"/>
  <c r="F9" i="4"/>
  <c r="D9" i="4"/>
  <c r="C9" i="4"/>
  <c r="B9" i="4"/>
  <c r="A9" i="4"/>
  <c r="G8" i="4"/>
  <c r="F8" i="4"/>
  <c r="D8" i="4"/>
  <c r="C8" i="4"/>
  <c r="B8" i="4"/>
  <c r="A8" i="4"/>
  <c r="G7" i="4"/>
  <c r="F7" i="4"/>
  <c r="D7" i="4"/>
  <c r="C7" i="4"/>
  <c r="B7" i="4"/>
  <c r="A7" i="4"/>
  <c r="G6" i="4"/>
  <c r="F6" i="4"/>
  <c r="D6" i="4"/>
  <c r="C6" i="4"/>
  <c r="B6" i="4"/>
  <c r="A6" i="4"/>
  <c r="G5" i="4"/>
  <c r="F5" i="4"/>
  <c r="D5" i="4"/>
  <c r="E5" i="4" s="1"/>
  <c r="C5" i="4"/>
  <c r="B5" i="4"/>
  <c r="A5" i="4"/>
  <c r="G4" i="4"/>
  <c r="F4" i="4"/>
  <c r="D4" i="4"/>
  <c r="E4" i="4" s="1"/>
  <c r="C4" i="4"/>
  <c r="B4" i="4"/>
  <c r="A4" i="4"/>
  <c r="G3" i="4"/>
  <c r="F3" i="4"/>
  <c r="D3" i="4"/>
  <c r="E3" i="4" s="1"/>
  <c r="C3" i="4"/>
  <c r="B3" i="4"/>
  <c r="A3" i="4"/>
  <c r="G2" i="4"/>
  <c r="F2" i="4"/>
  <c r="D2" i="4"/>
  <c r="E2" i="4" s="1"/>
  <c r="C2" i="4"/>
  <c r="B2" i="4"/>
  <c r="A2" i="4"/>
  <c r="M212" i="1"/>
  <c r="L212" i="1"/>
  <c r="K212" i="1"/>
  <c r="E212" i="1"/>
  <c r="A212" i="1"/>
  <c r="M211" i="1"/>
  <c r="L211" i="1"/>
  <c r="K211" i="1"/>
  <c r="E211" i="1"/>
  <c r="A211" i="1"/>
  <c r="M210" i="1"/>
  <c r="L210" i="1"/>
  <c r="K210" i="1"/>
  <c r="E210" i="1"/>
  <c r="A210" i="1"/>
  <c r="M209" i="1"/>
  <c r="L209" i="1"/>
  <c r="K209" i="1"/>
  <c r="E209" i="1"/>
  <c r="A209" i="1"/>
  <c r="M208" i="1"/>
  <c r="L208" i="1"/>
  <c r="K208" i="1"/>
  <c r="E208" i="1"/>
  <c r="A208" i="1"/>
  <c r="M207" i="1"/>
  <c r="L207" i="1"/>
  <c r="K207" i="1"/>
  <c r="E207" i="1"/>
  <c r="A207" i="1"/>
  <c r="M206" i="1"/>
  <c r="L206" i="1"/>
  <c r="K206" i="1"/>
  <c r="E206" i="1"/>
  <c r="A206" i="1"/>
  <c r="M205" i="1"/>
  <c r="L205" i="1"/>
  <c r="K205" i="1"/>
  <c r="E205" i="1"/>
  <c r="A205" i="1"/>
  <c r="M204" i="1"/>
  <c r="L204" i="1"/>
  <c r="K204" i="1"/>
  <c r="E204" i="1"/>
  <c r="A204" i="1"/>
  <c r="M203" i="1"/>
  <c r="L203" i="1"/>
  <c r="K203" i="1"/>
  <c r="E203" i="1"/>
  <c r="A203" i="1"/>
  <c r="M202" i="1"/>
  <c r="L202" i="1"/>
  <c r="K202" i="1"/>
  <c r="E202" i="1"/>
  <c r="A202" i="1"/>
  <c r="M201" i="1"/>
  <c r="L201" i="1"/>
  <c r="K201" i="1"/>
  <c r="E201" i="1"/>
  <c r="A201" i="1"/>
  <c r="M200" i="1"/>
  <c r="L200" i="1"/>
  <c r="K200" i="1"/>
  <c r="E200" i="1"/>
  <c r="A200" i="1"/>
  <c r="M199" i="1"/>
  <c r="L199" i="1"/>
  <c r="K199" i="1"/>
  <c r="E199" i="1"/>
  <c r="A199" i="1"/>
  <c r="M198" i="1"/>
  <c r="L198" i="1"/>
  <c r="K198" i="1"/>
  <c r="E198" i="1"/>
  <c r="A198" i="1"/>
  <c r="M197" i="1"/>
  <c r="L197" i="1"/>
  <c r="K197" i="1"/>
  <c r="E197" i="1"/>
  <c r="A197" i="1"/>
  <c r="M196" i="1"/>
  <c r="L196" i="1"/>
  <c r="K196" i="1"/>
  <c r="E196" i="1"/>
  <c r="A196" i="1"/>
  <c r="M195" i="1"/>
  <c r="L195" i="1"/>
  <c r="K195" i="1"/>
  <c r="E195" i="1"/>
  <c r="A195" i="1"/>
  <c r="M194" i="1"/>
  <c r="L194" i="1"/>
  <c r="K194" i="1"/>
  <c r="E194" i="1"/>
  <c r="A194" i="1"/>
  <c r="M193" i="1"/>
  <c r="L193" i="1"/>
  <c r="K193" i="1"/>
  <c r="E193" i="1"/>
  <c r="A193" i="1"/>
  <c r="M192" i="1"/>
  <c r="L192" i="1"/>
  <c r="K192" i="1"/>
  <c r="E192" i="1"/>
  <c r="A192" i="1"/>
  <c r="M191" i="1"/>
  <c r="L191" i="1"/>
  <c r="K191" i="1"/>
  <c r="E191" i="1"/>
  <c r="A191" i="1"/>
  <c r="M190" i="1"/>
  <c r="L190" i="1"/>
  <c r="K190" i="1"/>
  <c r="E190" i="1"/>
  <c r="A190" i="1"/>
  <c r="M189" i="1"/>
  <c r="L189" i="1"/>
  <c r="K189" i="1"/>
  <c r="E189" i="1"/>
  <c r="A189" i="1"/>
  <c r="M188" i="1"/>
  <c r="L188" i="1"/>
  <c r="K188" i="1"/>
  <c r="E188" i="1"/>
  <c r="A188" i="1"/>
  <c r="M187" i="1"/>
  <c r="L187" i="1"/>
  <c r="K187" i="1"/>
  <c r="E187" i="1"/>
  <c r="A187" i="1"/>
  <c r="M186" i="1"/>
  <c r="L186" i="1"/>
  <c r="K186" i="1"/>
  <c r="E186" i="1"/>
  <c r="A186" i="1"/>
  <c r="M185" i="1"/>
  <c r="L185" i="1"/>
  <c r="K185" i="1"/>
  <c r="E185" i="1"/>
  <c r="A185" i="1"/>
  <c r="M184" i="1"/>
  <c r="L184" i="1"/>
  <c r="K184" i="1"/>
  <c r="E184" i="1"/>
  <c r="A184" i="1"/>
  <c r="M183" i="1"/>
  <c r="L183" i="1"/>
  <c r="K183" i="1"/>
  <c r="E183" i="1"/>
  <c r="A183" i="1"/>
  <c r="M182" i="1"/>
  <c r="L182" i="1"/>
  <c r="K182" i="1"/>
  <c r="E182" i="1"/>
  <c r="A182" i="1"/>
  <c r="M181" i="1"/>
  <c r="L181" i="1"/>
  <c r="K181" i="1"/>
  <c r="E181" i="1"/>
  <c r="A181" i="1"/>
  <c r="M180" i="1"/>
  <c r="L180" i="1"/>
  <c r="K180" i="1"/>
  <c r="E180" i="1"/>
  <c r="A180" i="1"/>
  <c r="M179" i="1"/>
  <c r="L179" i="1"/>
  <c r="K179" i="1"/>
  <c r="E179" i="1"/>
  <c r="A179" i="1"/>
  <c r="M178" i="1"/>
  <c r="L178" i="1"/>
  <c r="K178" i="1"/>
  <c r="E178" i="1"/>
  <c r="A178" i="1"/>
  <c r="M177" i="1"/>
  <c r="L177" i="1"/>
  <c r="K177" i="1"/>
  <c r="E177" i="1"/>
  <c r="A177" i="1"/>
  <c r="M176" i="1"/>
  <c r="L176" i="1"/>
  <c r="K176" i="1"/>
  <c r="E176" i="1"/>
  <c r="A176" i="1"/>
  <c r="M175" i="1"/>
  <c r="L175" i="1"/>
  <c r="K175" i="1"/>
  <c r="E175" i="1"/>
  <c r="A175" i="1"/>
  <c r="M174" i="1"/>
  <c r="L174" i="1"/>
  <c r="K174" i="1"/>
  <c r="E174" i="1"/>
  <c r="A174" i="1"/>
  <c r="M173" i="1"/>
  <c r="L173" i="1"/>
  <c r="K173" i="1"/>
  <c r="E173" i="1"/>
  <c r="A173" i="1"/>
  <c r="M172" i="1"/>
  <c r="L172" i="1"/>
  <c r="K172" i="1"/>
  <c r="E172" i="1"/>
  <c r="A172" i="1"/>
  <c r="M171" i="1"/>
  <c r="L171" i="1"/>
  <c r="K171" i="1"/>
  <c r="E171" i="1"/>
  <c r="A171" i="1"/>
  <c r="M170" i="1"/>
  <c r="L170" i="1"/>
  <c r="K170" i="1"/>
  <c r="E170" i="1"/>
  <c r="A170" i="1"/>
  <c r="M169" i="1"/>
  <c r="L169" i="1"/>
  <c r="K169" i="1"/>
  <c r="E169" i="1"/>
  <c r="A169" i="1"/>
  <c r="M168" i="1"/>
  <c r="L168" i="1"/>
  <c r="K168" i="1"/>
  <c r="E168" i="1"/>
  <c r="A168" i="1"/>
  <c r="M167" i="1"/>
  <c r="L167" i="1"/>
  <c r="K167" i="1"/>
  <c r="E167" i="1"/>
  <c r="A167" i="1"/>
  <c r="M166" i="1"/>
  <c r="L166" i="1"/>
  <c r="K166" i="1"/>
  <c r="E166" i="1"/>
  <c r="A166" i="1"/>
  <c r="M165" i="1"/>
  <c r="L165" i="1"/>
  <c r="K165" i="1"/>
  <c r="E165" i="1"/>
  <c r="A165" i="1"/>
  <c r="M164" i="1"/>
  <c r="L164" i="1"/>
  <c r="K164" i="1"/>
  <c r="E164" i="1"/>
  <c r="A164" i="1"/>
  <c r="M163" i="1"/>
  <c r="L163" i="1"/>
  <c r="K163" i="1"/>
  <c r="E163" i="1"/>
  <c r="A163" i="1"/>
  <c r="M162" i="1"/>
  <c r="L162" i="1"/>
  <c r="K162" i="1"/>
  <c r="E162" i="1"/>
  <c r="A162" i="1"/>
  <c r="M161" i="1"/>
  <c r="L161" i="1"/>
  <c r="K161" i="1"/>
  <c r="E161" i="1"/>
  <c r="A161" i="1"/>
  <c r="M160" i="1"/>
  <c r="L160" i="1"/>
  <c r="K160" i="1"/>
  <c r="E160" i="1"/>
  <c r="A160" i="1"/>
  <c r="M159" i="1"/>
  <c r="L159" i="1"/>
  <c r="K159" i="1"/>
  <c r="E159" i="1"/>
  <c r="A159" i="1"/>
  <c r="M158" i="1"/>
  <c r="L158" i="1"/>
  <c r="K158" i="1"/>
  <c r="E158" i="1"/>
  <c r="A158" i="1"/>
  <c r="M157" i="1"/>
  <c r="L157" i="1"/>
  <c r="K157" i="1"/>
  <c r="E157" i="1"/>
  <c r="A157" i="1"/>
  <c r="M156" i="1"/>
  <c r="L156" i="1"/>
  <c r="K156" i="1"/>
  <c r="E156" i="1"/>
  <c r="A156" i="1"/>
  <c r="M155" i="1"/>
  <c r="L155" i="1"/>
  <c r="K155" i="1"/>
  <c r="E155" i="1"/>
  <c r="A155" i="1"/>
  <c r="M154" i="1"/>
  <c r="L154" i="1"/>
  <c r="K154" i="1"/>
  <c r="E154" i="1"/>
  <c r="A154" i="1"/>
  <c r="M153" i="1"/>
  <c r="L153" i="1"/>
  <c r="K153" i="1"/>
  <c r="E153" i="1"/>
  <c r="A153" i="1"/>
  <c r="M152" i="1"/>
  <c r="L152" i="1"/>
  <c r="K152" i="1"/>
  <c r="E152" i="1"/>
  <c r="A152" i="1"/>
  <c r="M151" i="1"/>
  <c r="L151" i="1"/>
  <c r="K151" i="1"/>
  <c r="E151" i="1"/>
  <c r="A151" i="1"/>
  <c r="M150" i="1"/>
  <c r="L150" i="1"/>
  <c r="K150" i="1"/>
  <c r="E150" i="1"/>
  <c r="A150" i="1"/>
  <c r="M149" i="1"/>
  <c r="L149" i="1"/>
  <c r="K149" i="1"/>
  <c r="E149" i="1"/>
  <c r="A149" i="1"/>
  <c r="M148" i="1"/>
  <c r="L148" i="1"/>
  <c r="K148" i="1"/>
  <c r="E148" i="1"/>
  <c r="A148" i="1"/>
  <c r="M147" i="1"/>
  <c r="L147" i="1"/>
  <c r="K147" i="1"/>
  <c r="E147" i="1"/>
  <c r="A147" i="1"/>
  <c r="M146" i="1"/>
  <c r="L146" i="1"/>
  <c r="K146" i="1"/>
  <c r="E146" i="1"/>
  <c r="A146" i="1"/>
  <c r="M145" i="1"/>
  <c r="L145" i="1"/>
  <c r="K145" i="1"/>
  <c r="E145" i="1"/>
  <c r="A145" i="1"/>
  <c r="M144" i="1"/>
  <c r="L144" i="1"/>
  <c r="K144" i="1"/>
  <c r="E144" i="1"/>
  <c r="A144" i="1"/>
  <c r="M143" i="1"/>
  <c r="L143" i="1"/>
  <c r="K143" i="1"/>
  <c r="E143" i="1"/>
  <c r="A143" i="1"/>
  <c r="M142" i="1"/>
  <c r="L142" i="1"/>
  <c r="K142" i="1"/>
  <c r="E142" i="1"/>
  <c r="A142" i="1"/>
  <c r="M141" i="1"/>
  <c r="L141" i="1"/>
  <c r="K141" i="1"/>
  <c r="E141" i="1"/>
  <c r="A141" i="1"/>
  <c r="M140" i="1"/>
  <c r="L140" i="1"/>
  <c r="K140" i="1"/>
  <c r="E140" i="1"/>
  <c r="A140" i="1"/>
  <c r="M139" i="1"/>
  <c r="L139" i="1"/>
  <c r="K139" i="1"/>
  <c r="E139" i="1"/>
  <c r="A139" i="1"/>
  <c r="M138" i="1"/>
  <c r="L138" i="1"/>
  <c r="K138" i="1"/>
  <c r="E138" i="1"/>
  <c r="A138" i="1"/>
  <c r="M137" i="1"/>
  <c r="L137" i="1"/>
  <c r="K137" i="1"/>
  <c r="E137" i="1"/>
  <c r="A137" i="1"/>
  <c r="M136" i="1"/>
  <c r="L136" i="1"/>
  <c r="K136" i="1"/>
  <c r="E136" i="1"/>
  <c r="A136" i="1"/>
  <c r="M135" i="1"/>
  <c r="L135" i="1"/>
  <c r="K135" i="1"/>
  <c r="E135" i="1"/>
  <c r="A135" i="1"/>
  <c r="M134" i="1"/>
  <c r="L134" i="1"/>
  <c r="K134" i="1"/>
  <c r="E134" i="1"/>
  <c r="A134" i="1"/>
  <c r="M133" i="1"/>
  <c r="L133" i="1"/>
  <c r="K133" i="1"/>
  <c r="E133" i="1"/>
  <c r="A133" i="1"/>
  <c r="M132" i="1"/>
  <c r="L132" i="1"/>
  <c r="K132" i="1"/>
  <c r="E132" i="1"/>
  <c r="A132" i="1"/>
  <c r="M131" i="1"/>
  <c r="L131" i="1"/>
  <c r="K131" i="1"/>
  <c r="E131" i="1"/>
  <c r="A131" i="1"/>
  <c r="M130" i="1"/>
  <c r="L130" i="1"/>
  <c r="K130" i="1"/>
  <c r="E130" i="1"/>
  <c r="A130" i="1"/>
  <c r="M129" i="1"/>
  <c r="L129" i="1"/>
  <c r="K129" i="1"/>
  <c r="E129" i="1"/>
  <c r="A129" i="1"/>
  <c r="M128" i="1"/>
  <c r="L128" i="1"/>
  <c r="K128" i="1"/>
  <c r="E128" i="1"/>
  <c r="A128" i="1"/>
  <c r="M127" i="1"/>
  <c r="L127" i="1"/>
  <c r="K127" i="1"/>
  <c r="E127" i="1"/>
  <c r="A127" i="1"/>
  <c r="M126" i="1"/>
  <c r="L126" i="1"/>
  <c r="K126" i="1"/>
  <c r="E126" i="1"/>
  <c r="A126" i="1"/>
  <c r="M125" i="1"/>
  <c r="L125" i="1"/>
  <c r="K125" i="1"/>
  <c r="E125" i="1"/>
  <c r="A125" i="1"/>
  <c r="M124" i="1"/>
  <c r="L124" i="1"/>
  <c r="K124" i="1"/>
  <c r="E124" i="1"/>
  <c r="A124" i="1"/>
  <c r="M123" i="1"/>
  <c r="L123" i="1"/>
  <c r="K123" i="1"/>
  <c r="E123" i="1"/>
  <c r="A123" i="1"/>
  <c r="M122" i="1"/>
  <c r="L122" i="1"/>
  <c r="K122" i="1"/>
  <c r="E122" i="1"/>
  <c r="A122" i="1"/>
  <c r="M121" i="1"/>
  <c r="L121" i="1"/>
  <c r="K121" i="1"/>
  <c r="E121" i="1"/>
  <c r="A121" i="1"/>
  <c r="M120" i="1"/>
  <c r="L120" i="1"/>
  <c r="K120" i="1"/>
  <c r="E120" i="1"/>
  <c r="A120" i="1"/>
  <c r="M119" i="1"/>
  <c r="L119" i="1"/>
  <c r="K119" i="1"/>
  <c r="E119" i="1"/>
  <c r="A119" i="1"/>
  <c r="M118" i="1"/>
  <c r="L118" i="1"/>
  <c r="K118" i="1"/>
  <c r="E118" i="1"/>
  <c r="A118" i="1"/>
  <c r="M117" i="1"/>
  <c r="L117" i="1"/>
  <c r="K117" i="1"/>
  <c r="E117" i="1"/>
  <c r="A117" i="1"/>
  <c r="M116" i="1"/>
  <c r="L116" i="1"/>
  <c r="K116" i="1"/>
  <c r="E116" i="1"/>
  <c r="A116" i="1"/>
  <c r="M115" i="1"/>
  <c r="L115" i="1"/>
  <c r="K115" i="1"/>
  <c r="E115" i="1"/>
  <c r="A115" i="1"/>
  <c r="M114" i="1"/>
  <c r="L114" i="1"/>
  <c r="K114" i="1"/>
  <c r="E114" i="1"/>
  <c r="A114" i="1"/>
  <c r="M113" i="1"/>
  <c r="L113" i="1"/>
  <c r="K113" i="1"/>
  <c r="E113" i="1"/>
  <c r="A113" i="1"/>
  <c r="M112" i="1"/>
  <c r="L112" i="1"/>
  <c r="K112" i="1"/>
  <c r="E112" i="1"/>
  <c r="A112" i="1"/>
  <c r="M111" i="1"/>
  <c r="L111" i="1"/>
  <c r="K111" i="1"/>
  <c r="E111" i="1"/>
  <c r="A111" i="1"/>
  <c r="M110" i="1"/>
  <c r="L110" i="1"/>
  <c r="K110" i="1"/>
  <c r="E110" i="1"/>
  <c r="A110" i="1"/>
  <c r="M109" i="1"/>
  <c r="L109" i="1"/>
  <c r="K109" i="1"/>
  <c r="E109" i="1"/>
  <c r="A109" i="1"/>
  <c r="M108" i="1"/>
  <c r="L108" i="1"/>
  <c r="K108" i="1"/>
  <c r="E108" i="1"/>
  <c r="A108" i="1"/>
  <c r="M107" i="1"/>
  <c r="L107" i="1"/>
  <c r="K107" i="1"/>
  <c r="E107" i="1"/>
  <c r="A107" i="1"/>
  <c r="M106" i="1"/>
  <c r="L106" i="1"/>
  <c r="K106" i="1"/>
  <c r="E106" i="1"/>
  <c r="A106" i="1"/>
  <c r="M105" i="1"/>
  <c r="L105" i="1"/>
  <c r="K105" i="1"/>
  <c r="E105" i="1"/>
  <c r="A105" i="1"/>
  <c r="M104" i="1"/>
  <c r="L104" i="1"/>
  <c r="K104" i="1"/>
  <c r="E104" i="1"/>
  <c r="A104" i="1"/>
  <c r="M103" i="1"/>
  <c r="L103" i="1"/>
  <c r="K103" i="1"/>
  <c r="E103" i="1"/>
  <c r="A103" i="1"/>
  <c r="M102" i="1"/>
  <c r="L102" i="1"/>
  <c r="K102" i="1"/>
  <c r="E102" i="1"/>
  <c r="A102" i="1"/>
  <c r="M101" i="1"/>
  <c r="L101" i="1"/>
  <c r="K101" i="1"/>
  <c r="E101" i="1"/>
  <c r="A101" i="1"/>
  <c r="M100" i="1"/>
  <c r="L100" i="1"/>
  <c r="K100" i="1"/>
  <c r="E100" i="1"/>
  <c r="A100" i="1"/>
  <c r="M99" i="1"/>
  <c r="L99" i="1"/>
  <c r="K99" i="1"/>
  <c r="E99" i="1"/>
  <c r="A99" i="1"/>
  <c r="M98" i="1"/>
  <c r="L98" i="1"/>
  <c r="K98" i="1"/>
  <c r="E98" i="1"/>
  <c r="A98" i="1"/>
  <c r="M97" i="1"/>
  <c r="L97" i="1"/>
  <c r="K97" i="1"/>
  <c r="E97" i="1"/>
  <c r="A97" i="1"/>
  <c r="M96" i="1"/>
  <c r="L96" i="1"/>
  <c r="K96" i="1"/>
  <c r="E96" i="1"/>
  <c r="A96" i="1"/>
  <c r="M95" i="1"/>
  <c r="L95" i="1"/>
  <c r="K95" i="1"/>
  <c r="E95" i="1"/>
  <c r="A95" i="1"/>
  <c r="M94" i="1"/>
  <c r="L94" i="1"/>
  <c r="K94" i="1"/>
  <c r="E94" i="1"/>
  <c r="A94" i="1"/>
  <c r="M93" i="1"/>
  <c r="L93" i="1"/>
  <c r="K93" i="1"/>
  <c r="E93" i="1"/>
  <c r="A93" i="1"/>
  <c r="M92" i="1"/>
  <c r="L92" i="1"/>
  <c r="K92" i="1"/>
  <c r="E92" i="1"/>
  <c r="A92" i="1"/>
  <c r="M91" i="1"/>
  <c r="L91" i="1"/>
  <c r="K91" i="1"/>
  <c r="E91" i="1"/>
  <c r="A91" i="1"/>
  <c r="M90" i="1"/>
  <c r="L90" i="1"/>
  <c r="K90" i="1"/>
  <c r="E90" i="1"/>
  <c r="A90" i="1"/>
  <c r="M89" i="1"/>
  <c r="L89" i="1"/>
  <c r="K89" i="1"/>
  <c r="E89" i="1"/>
  <c r="A89" i="1"/>
  <c r="M88" i="1"/>
  <c r="L88" i="1"/>
  <c r="K88" i="1"/>
  <c r="E88" i="1"/>
  <c r="A88" i="1"/>
  <c r="M87" i="1"/>
  <c r="L87" i="1"/>
  <c r="K87" i="1"/>
  <c r="E87" i="1"/>
  <c r="A87" i="1"/>
  <c r="M86" i="1"/>
  <c r="L86" i="1"/>
  <c r="K86" i="1"/>
  <c r="E86" i="1"/>
  <c r="A86" i="1"/>
  <c r="M85" i="1"/>
  <c r="L85" i="1"/>
  <c r="K85" i="1"/>
  <c r="E85" i="1"/>
  <c r="A85" i="1"/>
  <c r="M84" i="1"/>
  <c r="L84" i="1"/>
  <c r="K84" i="1"/>
  <c r="E84" i="1"/>
  <c r="A84" i="1"/>
  <c r="M83" i="1"/>
  <c r="L83" i="1"/>
  <c r="K83" i="1"/>
  <c r="E83" i="1"/>
  <c r="A83" i="1"/>
  <c r="M82" i="1"/>
  <c r="L82" i="1"/>
  <c r="K82" i="1"/>
  <c r="E82" i="1"/>
  <c r="A82" i="1"/>
  <c r="M81" i="1"/>
  <c r="L81" i="1"/>
  <c r="K81" i="1"/>
  <c r="E81" i="1"/>
  <c r="A81" i="1"/>
  <c r="M80" i="1"/>
  <c r="L80" i="1"/>
  <c r="K80" i="1"/>
  <c r="E80" i="1"/>
  <c r="A80" i="1"/>
  <c r="M79" i="1"/>
  <c r="L79" i="1"/>
  <c r="K79" i="1"/>
  <c r="E79" i="1"/>
  <c r="A79" i="1"/>
  <c r="M78" i="1"/>
  <c r="L78" i="1"/>
  <c r="K78" i="1"/>
  <c r="E78" i="1"/>
  <c r="A78" i="1"/>
  <c r="M77" i="1"/>
  <c r="L77" i="1"/>
  <c r="K77" i="1"/>
  <c r="E77" i="1"/>
  <c r="A77" i="1"/>
  <c r="M76" i="1"/>
  <c r="L76" i="1"/>
  <c r="K76" i="1"/>
  <c r="E76" i="1"/>
  <c r="A76" i="1"/>
  <c r="M75" i="1"/>
  <c r="L75" i="1"/>
  <c r="K75" i="1"/>
  <c r="E75" i="1"/>
  <c r="A75" i="1"/>
  <c r="M74" i="1"/>
  <c r="L74" i="1"/>
  <c r="K74" i="1"/>
  <c r="E74" i="1"/>
  <c r="A74" i="1"/>
  <c r="M73" i="1"/>
  <c r="L73" i="1"/>
  <c r="K73" i="1"/>
  <c r="E73" i="1"/>
  <c r="A73" i="1"/>
  <c r="M72" i="1"/>
  <c r="L72" i="1"/>
  <c r="K72" i="1"/>
  <c r="E72" i="1"/>
  <c r="A72" i="1"/>
  <c r="M71" i="1"/>
  <c r="L71" i="1"/>
  <c r="K71" i="1"/>
  <c r="E71" i="1"/>
  <c r="A71" i="1"/>
  <c r="M70" i="1"/>
  <c r="L70" i="1"/>
  <c r="K70" i="1"/>
  <c r="E70" i="1"/>
  <c r="A70" i="1"/>
  <c r="M69" i="1"/>
  <c r="L69" i="1"/>
  <c r="K69" i="1"/>
  <c r="E69" i="1"/>
  <c r="A69" i="1"/>
  <c r="M68" i="1"/>
  <c r="L68" i="1"/>
  <c r="K68" i="1"/>
  <c r="E68" i="1"/>
  <c r="A68" i="1"/>
  <c r="M67" i="1"/>
  <c r="L67" i="1"/>
  <c r="K67" i="1"/>
  <c r="E67" i="1"/>
  <c r="A67" i="1"/>
  <c r="M66" i="1"/>
  <c r="L66" i="1"/>
  <c r="K66" i="1"/>
  <c r="E66" i="1"/>
  <c r="A66" i="1"/>
  <c r="M65" i="1"/>
  <c r="L65" i="1"/>
  <c r="K65" i="1"/>
  <c r="E65" i="1"/>
  <c r="A65" i="1"/>
  <c r="M64" i="1"/>
  <c r="L64" i="1"/>
  <c r="K64" i="1"/>
  <c r="E64" i="1"/>
  <c r="A64" i="1"/>
  <c r="M63" i="1"/>
  <c r="L63" i="1"/>
  <c r="K63" i="1"/>
  <c r="E63" i="1"/>
  <c r="A63" i="1"/>
  <c r="M62" i="1"/>
  <c r="L62" i="1"/>
  <c r="K62" i="1"/>
  <c r="E62" i="1"/>
  <c r="A62" i="1"/>
  <c r="M61" i="1"/>
  <c r="L61" i="1"/>
  <c r="K61" i="1"/>
  <c r="E61" i="1"/>
  <c r="A61" i="1"/>
  <c r="M60" i="1"/>
  <c r="L60" i="1"/>
  <c r="K60" i="1"/>
  <c r="E60" i="1"/>
  <c r="A60" i="1"/>
  <c r="M59" i="1"/>
  <c r="L59" i="1"/>
  <c r="K59" i="1"/>
  <c r="E59" i="1"/>
  <c r="A59" i="1"/>
  <c r="M58" i="1"/>
  <c r="L58" i="1"/>
  <c r="K58" i="1"/>
  <c r="E58" i="1"/>
  <c r="A58" i="1"/>
  <c r="M57" i="1"/>
  <c r="L57" i="1"/>
  <c r="K57" i="1"/>
  <c r="E57" i="1"/>
  <c r="A57" i="1"/>
  <c r="M56" i="1"/>
  <c r="L56" i="1"/>
  <c r="K56" i="1"/>
  <c r="E56" i="1"/>
  <c r="A56" i="1"/>
  <c r="M55" i="1"/>
  <c r="L55" i="1"/>
  <c r="K55" i="1"/>
  <c r="E55" i="1"/>
  <c r="A55" i="1"/>
  <c r="M54" i="1"/>
  <c r="L54" i="1"/>
  <c r="K54" i="1"/>
  <c r="E54" i="1"/>
  <c r="A54" i="1"/>
  <c r="M53" i="1"/>
  <c r="L53" i="1"/>
  <c r="K53" i="1"/>
  <c r="E53" i="1"/>
  <c r="A53" i="1"/>
  <c r="M52" i="1"/>
  <c r="L52" i="1"/>
  <c r="K52" i="1"/>
  <c r="E52" i="1"/>
  <c r="A52" i="1"/>
  <c r="M51" i="1"/>
  <c r="L51" i="1"/>
  <c r="K51" i="1"/>
  <c r="E51" i="1"/>
  <c r="A51" i="1"/>
  <c r="M50" i="1"/>
  <c r="L50" i="1"/>
  <c r="K50" i="1"/>
  <c r="E50" i="1"/>
  <c r="A50" i="1"/>
  <c r="M49" i="1"/>
  <c r="L49" i="1"/>
  <c r="K49" i="1"/>
  <c r="E49" i="1"/>
  <c r="A49" i="1"/>
  <c r="M48" i="1"/>
  <c r="L48" i="1"/>
  <c r="K48" i="1"/>
  <c r="E48" i="1"/>
  <c r="A48" i="1"/>
  <c r="M47" i="1"/>
  <c r="L47" i="1"/>
  <c r="K47" i="1"/>
  <c r="E47" i="1"/>
  <c r="A47" i="1"/>
  <c r="M46" i="1"/>
  <c r="L46" i="1"/>
  <c r="K46" i="1"/>
  <c r="E46" i="1"/>
  <c r="A46" i="1"/>
  <c r="M45" i="1"/>
  <c r="L45" i="1"/>
  <c r="K45" i="1"/>
  <c r="E45" i="1"/>
  <c r="A45" i="1"/>
  <c r="M44" i="1"/>
  <c r="L44" i="1"/>
  <c r="K44" i="1"/>
  <c r="E44" i="1"/>
  <c r="A44" i="1"/>
  <c r="M43" i="1"/>
  <c r="L43" i="1"/>
  <c r="K43" i="1"/>
  <c r="E43" i="1"/>
  <c r="A43" i="1"/>
  <c r="M42" i="1"/>
  <c r="L42" i="1"/>
  <c r="K42" i="1"/>
  <c r="E42" i="1"/>
  <c r="A42" i="1"/>
  <c r="M41" i="1"/>
  <c r="L41" i="1"/>
  <c r="K41" i="1"/>
  <c r="E41" i="1"/>
  <c r="A41" i="1"/>
  <c r="M40" i="1"/>
  <c r="L40" i="1"/>
  <c r="K40" i="1"/>
  <c r="E40" i="1"/>
  <c r="A40" i="1"/>
  <c r="M39" i="1"/>
  <c r="L39" i="1"/>
  <c r="K39" i="1"/>
  <c r="E39" i="1"/>
  <c r="A39" i="1"/>
  <c r="M38" i="1"/>
  <c r="L38" i="1"/>
  <c r="K38" i="1"/>
  <c r="E38" i="1"/>
  <c r="A38" i="1"/>
  <c r="M37" i="1"/>
  <c r="L37" i="1"/>
  <c r="K37" i="1"/>
  <c r="E37" i="1"/>
  <c r="A37" i="1"/>
  <c r="M36" i="1"/>
  <c r="L36" i="1"/>
  <c r="K36" i="1"/>
  <c r="E36" i="1"/>
  <c r="A36" i="1"/>
  <c r="M35" i="1"/>
  <c r="L35" i="1"/>
  <c r="K35" i="1"/>
  <c r="E35" i="1"/>
  <c r="A35" i="1"/>
  <c r="M34" i="1"/>
  <c r="L34" i="1"/>
  <c r="K34" i="1"/>
  <c r="E34" i="1"/>
  <c r="A34" i="1"/>
  <c r="M33" i="1"/>
  <c r="L33" i="1"/>
  <c r="K33" i="1"/>
  <c r="E33" i="1"/>
  <c r="A33" i="1"/>
  <c r="M32" i="1"/>
  <c r="L32" i="1"/>
  <c r="K32" i="1"/>
  <c r="E32" i="1"/>
  <c r="A32" i="1"/>
  <c r="M31" i="1"/>
  <c r="L31" i="1"/>
  <c r="K31" i="1"/>
  <c r="E31" i="1"/>
  <c r="A31" i="1"/>
  <c r="M30" i="1"/>
  <c r="L30" i="1"/>
  <c r="K30" i="1"/>
  <c r="E30" i="1"/>
  <c r="A30" i="1"/>
  <c r="M29" i="1"/>
  <c r="L29" i="1"/>
  <c r="K29" i="1"/>
  <c r="E29" i="1"/>
  <c r="A29" i="1"/>
  <c r="M28" i="1"/>
  <c r="L28" i="1"/>
  <c r="K28" i="1"/>
  <c r="E28" i="1"/>
  <c r="A28" i="1"/>
  <c r="M27" i="1"/>
  <c r="L27" i="1"/>
  <c r="K27" i="1"/>
  <c r="E27" i="1"/>
  <c r="A27" i="1"/>
  <c r="M26" i="1"/>
  <c r="L26" i="1"/>
  <c r="K26" i="1"/>
  <c r="E26" i="1"/>
  <c r="A26" i="1"/>
  <c r="M25" i="1"/>
  <c r="L25" i="1"/>
  <c r="K25" i="1"/>
  <c r="E25" i="1"/>
  <c r="A25" i="1"/>
  <c r="M24" i="1"/>
  <c r="L24" i="1"/>
  <c r="K24" i="1"/>
  <c r="E24" i="1"/>
  <c r="A24" i="1"/>
  <c r="M23" i="1"/>
  <c r="L23" i="1"/>
  <c r="K23" i="1"/>
  <c r="E23" i="1"/>
  <c r="A23" i="1"/>
  <c r="M22" i="1"/>
  <c r="L22" i="1"/>
  <c r="K22" i="1"/>
  <c r="E22" i="1"/>
  <c r="A22" i="1"/>
  <c r="M21" i="1"/>
  <c r="L21" i="1"/>
  <c r="K21" i="1"/>
  <c r="E21" i="1"/>
  <c r="A21" i="1"/>
  <c r="M20" i="1"/>
  <c r="L20" i="1"/>
  <c r="K20" i="1"/>
  <c r="E20" i="1"/>
  <c r="A20" i="1"/>
  <c r="M19" i="1"/>
  <c r="L19" i="1"/>
  <c r="K19" i="1"/>
  <c r="E19" i="1"/>
  <c r="A19" i="1"/>
  <c r="M18" i="1"/>
  <c r="L18" i="1"/>
  <c r="K18" i="1"/>
  <c r="E18" i="1"/>
  <c r="A18" i="1"/>
  <c r="M17" i="1"/>
  <c r="L17" i="1"/>
  <c r="K17" i="1"/>
  <c r="E17" i="1"/>
  <c r="A17" i="1"/>
  <c r="M16" i="1"/>
  <c r="L16" i="1"/>
  <c r="K16" i="1"/>
  <c r="E16" i="1"/>
  <c r="A16" i="1"/>
  <c r="M15" i="1"/>
  <c r="L15" i="1"/>
  <c r="K15" i="1"/>
  <c r="E15" i="1"/>
  <c r="A15" i="1"/>
  <c r="M14" i="1"/>
  <c r="L14" i="1"/>
  <c r="K14" i="1"/>
  <c r="E14" i="1"/>
  <c r="A14" i="1"/>
  <c r="M13" i="1"/>
  <c r="K13" i="1"/>
  <c r="L13" i="1" s="1"/>
  <c r="E13" i="1"/>
  <c r="A13" i="1"/>
  <c r="E12" i="1"/>
  <c r="K5" i="1"/>
  <c r="K4" i="1"/>
  <c r="K7" i="1" l="1"/>
  <c r="E10" i="4"/>
  <c r="E9" i="4"/>
  <c r="E8" i="4"/>
  <c r="E7" i="4"/>
  <c r="E6" i="4"/>
  <c r="K6" i="1"/>
  <c r="AY11" i="3"/>
  <c r="H561" i="3" l="1"/>
  <c r="AW560" i="3"/>
  <c r="AA560" i="3" s="1"/>
  <c r="U560" i="3"/>
  <c r="O560" i="3"/>
  <c r="M560" i="3"/>
  <c r="L560" i="3"/>
  <c r="AW559" i="3"/>
  <c r="AA559" i="3" s="1"/>
  <c r="H559" i="3"/>
  <c r="I558" i="3"/>
  <c r="I557" i="3"/>
  <c r="O556" i="3"/>
  <c r="M556" i="3"/>
  <c r="L556" i="3"/>
  <c r="I556" i="3"/>
  <c r="H556" i="3"/>
  <c r="AW555" i="3"/>
  <c r="AA555" i="3" s="1"/>
  <c r="U555" i="3"/>
  <c r="O555" i="3"/>
  <c r="M555" i="3"/>
  <c r="L555" i="3"/>
  <c r="I555" i="3"/>
  <c r="H555" i="3"/>
  <c r="AW554" i="3"/>
  <c r="AA554" i="3" s="1"/>
  <c r="U451" i="3"/>
  <c r="O451" i="3"/>
  <c r="M451" i="3"/>
  <c r="L451" i="3"/>
  <c r="I451" i="3"/>
  <c r="H451" i="3"/>
  <c r="AW450" i="3"/>
  <c r="AA450" i="3" s="1"/>
  <c r="U450" i="3"/>
  <c r="O450" i="3"/>
  <c r="M450" i="3"/>
  <c r="L450" i="3"/>
  <c r="I450" i="3"/>
  <c r="H450" i="3"/>
  <c r="AW449" i="3"/>
  <c r="AA449" i="3" s="1"/>
  <c r="M435" i="3"/>
  <c r="L435" i="3"/>
  <c r="I435" i="3"/>
  <c r="H435" i="3"/>
  <c r="AW434" i="3"/>
  <c r="AA434" i="3" s="1"/>
  <c r="M434" i="3"/>
  <c r="I434" i="3"/>
  <c r="H434" i="3"/>
  <c r="U433" i="3"/>
  <c r="M433" i="3"/>
  <c r="I433" i="3"/>
  <c r="H433" i="3"/>
  <c r="U432" i="3"/>
  <c r="M432" i="3"/>
  <c r="I432" i="3"/>
  <c r="AW431" i="3"/>
  <c r="AA431" i="3" s="1"/>
  <c r="O431" i="3"/>
  <c r="L431" i="3"/>
  <c r="H431" i="3"/>
  <c r="AW430" i="3"/>
  <c r="AA430" i="3" s="1"/>
  <c r="O430" i="3"/>
  <c r="H428" i="3"/>
  <c r="O427" i="3"/>
  <c r="L427" i="3"/>
  <c r="AW426" i="3"/>
  <c r="AA426" i="3" s="1"/>
  <c r="M426" i="3"/>
  <c r="H426" i="3"/>
  <c r="L564" i="3"/>
  <c r="U563" i="3"/>
  <c r="I563" i="3"/>
  <c r="O562" i="3"/>
  <c r="AW561" i="3"/>
  <c r="AA561" i="3" s="1"/>
  <c r="I561" i="3"/>
  <c r="M559" i="3"/>
  <c r="U558" i="3"/>
  <c r="H558" i="3"/>
  <c r="L557" i="3"/>
  <c r="U556" i="3"/>
  <c r="U434" i="3"/>
  <c r="O434" i="3"/>
  <c r="L434" i="3"/>
  <c r="AW433" i="3"/>
  <c r="AA433" i="3" s="1"/>
  <c r="O433" i="3"/>
  <c r="L433" i="3"/>
  <c r="AW432" i="3"/>
  <c r="AA432" i="3" s="1"/>
  <c r="O432" i="3"/>
  <c r="L432" i="3"/>
  <c r="H432" i="3"/>
  <c r="U431" i="3"/>
  <c r="M431" i="3"/>
  <c r="I431" i="3"/>
  <c r="U430" i="3"/>
  <c r="M430" i="3"/>
  <c r="U427" i="3"/>
  <c r="I427" i="3"/>
  <c r="O426" i="3"/>
  <c r="L426" i="3"/>
  <c r="M564" i="3"/>
  <c r="O563" i="3"/>
  <c r="U562" i="3"/>
  <c r="I562" i="3"/>
  <c r="M561" i="3"/>
  <c r="U559" i="3"/>
  <c r="I559" i="3"/>
  <c r="L558" i="3"/>
  <c r="M557" i="3"/>
  <c r="L430" i="3"/>
  <c r="I430" i="3"/>
  <c r="H430" i="3"/>
  <c r="AW429" i="3"/>
  <c r="AA429" i="3" s="1"/>
  <c r="U429" i="3"/>
  <c r="O429" i="3"/>
  <c r="M429" i="3"/>
  <c r="L429" i="3"/>
  <c r="I429" i="3"/>
  <c r="H429" i="3"/>
  <c r="AW428" i="3"/>
  <c r="AA428" i="3" s="1"/>
  <c r="U428" i="3"/>
  <c r="O428" i="3"/>
  <c r="M428" i="3"/>
  <c r="L428" i="3"/>
  <c r="I428" i="3"/>
  <c r="AW427" i="3"/>
  <c r="AA427" i="3" s="1"/>
  <c r="M427" i="3"/>
  <c r="H427" i="3"/>
  <c r="U426" i="3"/>
  <c r="I426" i="3"/>
  <c r="I564" i="3"/>
  <c r="M563" i="3"/>
  <c r="AW562" i="3"/>
  <c r="AA562" i="3" s="1"/>
  <c r="H562" i="3"/>
  <c r="L561" i="3"/>
  <c r="O559" i="3"/>
  <c r="O558" i="3"/>
  <c r="U557" i="3"/>
  <c r="AW425" i="3"/>
  <c r="AA425" i="3" s="1"/>
  <c r="U425" i="3"/>
  <c r="O425" i="3"/>
  <c r="M425" i="3"/>
  <c r="L425" i="3"/>
  <c r="I425" i="3"/>
  <c r="H425" i="3"/>
  <c r="AW424" i="3"/>
  <c r="AA424" i="3" s="1"/>
  <c r="U424" i="3"/>
  <c r="O424" i="3"/>
  <c r="M424" i="3"/>
  <c r="L424" i="3"/>
  <c r="I424" i="3"/>
  <c r="H424" i="3"/>
  <c r="AW423" i="3"/>
  <c r="AA423" i="3" s="1"/>
  <c r="U423" i="3"/>
  <c r="O423" i="3"/>
  <c r="M423" i="3"/>
  <c r="AW246" i="3"/>
  <c r="AA246" i="3" s="1"/>
  <c r="U246" i="3"/>
  <c r="O246" i="3"/>
  <c r="M246" i="3"/>
  <c r="L246" i="3"/>
  <c r="I246" i="3"/>
  <c r="H246" i="3"/>
  <c r="AW245" i="3"/>
  <c r="AA245" i="3" s="1"/>
  <c r="U245" i="3"/>
  <c r="O245" i="3"/>
  <c r="M245" i="3"/>
  <c r="L245" i="3"/>
  <c r="I245" i="3"/>
  <c r="O239" i="3"/>
  <c r="L239" i="3"/>
  <c r="H239" i="3"/>
  <c r="U238" i="3"/>
  <c r="M238" i="3"/>
  <c r="I238" i="3"/>
  <c r="AW237" i="3"/>
  <c r="AA237" i="3" s="1"/>
  <c r="U237" i="3"/>
  <c r="M237" i="3"/>
  <c r="I237" i="3"/>
  <c r="AW236" i="3"/>
  <c r="AA236" i="3" s="1"/>
  <c r="H236" i="3"/>
  <c r="H245" i="3"/>
  <c r="AW244" i="3"/>
  <c r="AA244" i="3" s="1"/>
  <c r="U244" i="3"/>
  <c r="O244" i="3"/>
  <c r="M244" i="3"/>
  <c r="L244" i="3"/>
  <c r="I244" i="3"/>
  <c r="H244" i="3"/>
  <c r="AW243" i="3"/>
  <c r="AA243" i="3" s="1"/>
  <c r="U243" i="3"/>
  <c r="O243" i="3"/>
  <c r="M243" i="3"/>
  <c r="L243" i="3"/>
  <c r="I243" i="3"/>
  <c r="H243" i="3"/>
  <c r="AW242" i="3"/>
  <c r="AA242" i="3" s="1"/>
  <c r="U242" i="3"/>
  <c r="O242" i="3"/>
  <c r="M242" i="3"/>
  <c r="L242" i="3"/>
  <c r="I242" i="3"/>
  <c r="H242" i="3"/>
  <c r="AW241" i="3"/>
  <c r="AA241" i="3" s="1"/>
  <c r="U241" i="3"/>
  <c r="O241" i="3"/>
  <c r="M241" i="3"/>
  <c r="L241" i="3"/>
  <c r="I241" i="3"/>
  <c r="H241" i="3"/>
  <c r="AW240" i="3"/>
  <c r="AA240" i="3" s="1"/>
  <c r="U240" i="3"/>
  <c r="O240" i="3"/>
  <c r="M240" i="3"/>
  <c r="L240" i="3"/>
  <c r="I240" i="3"/>
  <c r="H240" i="3"/>
  <c r="AW239" i="3"/>
  <c r="AA239" i="3" s="1"/>
  <c r="U239" i="3"/>
  <c r="M239" i="3"/>
  <c r="I239" i="3"/>
  <c r="AW238" i="3"/>
  <c r="AA238" i="3" s="1"/>
  <c r="O238" i="3"/>
  <c r="L238" i="3"/>
  <c r="H238" i="3"/>
  <c r="O237" i="3"/>
  <c r="L237" i="3"/>
  <c r="H237" i="3"/>
  <c r="I236" i="3"/>
  <c r="AW235" i="3"/>
  <c r="AA235" i="3" s="1"/>
  <c r="AW563" i="3"/>
  <c r="AA563" i="3" s="1"/>
  <c r="H563" i="3"/>
  <c r="L562" i="3"/>
  <c r="O561" i="3"/>
  <c r="I560" i="3"/>
  <c r="L559" i="3"/>
  <c r="M558" i="3"/>
  <c r="O557" i="3"/>
  <c r="AW556" i="3"/>
  <c r="AA556" i="3" s="1"/>
  <c r="O564" i="3"/>
  <c r="H564" i="3"/>
  <c r="L563" i="3"/>
  <c r="M562" i="3"/>
  <c r="U561" i="3"/>
  <c r="H560" i="3"/>
  <c r="AW558" i="3"/>
  <c r="AA558" i="3" s="1"/>
  <c r="AW557" i="3"/>
  <c r="AA557" i="3" s="1"/>
  <c r="H557" i="3"/>
  <c r="U554" i="3"/>
  <c r="O554" i="3"/>
  <c r="M554" i="3"/>
  <c r="L554" i="3"/>
  <c r="I554" i="3"/>
  <c r="H554" i="3"/>
  <c r="AW553" i="3"/>
  <c r="AA553" i="3" s="1"/>
  <c r="O549" i="3"/>
  <c r="M549" i="3"/>
  <c r="L549" i="3"/>
  <c r="I549" i="3"/>
  <c r="H549" i="3"/>
  <c r="AW548" i="3"/>
  <c r="AA548" i="3" s="1"/>
  <c r="U548" i="3"/>
  <c r="O548" i="3"/>
  <c r="M548" i="3"/>
  <c r="L548" i="3"/>
  <c r="I548" i="3"/>
  <c r="I547" i="3"/>
  <c r="H547" i="3"/>
  <c r="AW546" i="3"/>
  <c r="AA546" i="3" s="1"/>
  <c r="U546" i="3"/>
  <c r="O546" i="3"/>
  <c r="M546" i="3"/>
  <c r="L546" i="3"/>
  <c r="I546" i="3"/>
  <c r="H546" i="3"/>
  <c r="AW545" i="3"/>
  <c r="AA545" i="3" s="1"/>
  <c r="U545" i="3"/>
  <c r="O545" i="3"/>
  <c r="M545" i="3"/>
  <c r="L545" i="3"/>
  <c r="I545" i="3"/>
  <c r="H545" i="3"/>
  <c r="AW544" i="3"/>
  <c r="AA544" i="3" s="1"/>
  <c r="U544" i="3"/>
  <c r="O544" i="3"/>
  <c r="M544" i="3"/>
  <c r="L544" i="3"/>
  <c r="I544" i="3"/>
  <c r="H544" i="3"/>
  <c r="AW543" i="3"/>
  <c r="AA543" i="3" s="1"/>
  <c r="U543" i="3"/>
  <c r="O543" i="3"/>
  <c r="M543" i="3"/>
  <c r="L543" i="3"/>
  <c r="I543" i="3"/>
  <c r="H543" i="3"/>
  <c r="AW542" i="3"/>
  <c r="AA542" i="3" s="1"/>
  <c r="U542" i="3"/>
  <c r="O542" i="3"/>
  <c r="M542" i="3"/>
  <c r="L542" i="3"/>
  <c r="I542" i="3"/>
  <c r="H542" i="3"/>
  <c r="U541" i="3"/>
  <c r="O541" i="3"/>
  <c r="M541" i="3"/>
  <c r="L541" i="3"/>
  <c r="I541" i="3"/>
  <c r="H541" i="3"/>
  <c r="AW540" i="3"/>
  <c r="AA540" i="3" s="1"/>
  <c r="U540" i="3"/>
  <c r="O540" i="3"/>
  <c r="M540" i="3"/>
  <c r="L540" i="3"/>
  <c r="I540" i="3"/>
  <c r="H540" i="3"/>
  <c r="AW539" i="3"/>
  <c r="AA539" i="3" s="1"/>
  <c r="U539" i="3"/>
  <c r="O539" i="3"/>
  <c r="M539" i="3"/>
  <c r="L539" i="3"/>
  <c r="I539" i="3"/>
  <c r="H539" i="3"/>
  <c r="AW538" i="3"/>
  <c r="AA538" i="3" s="1"/>
  <c r="U538" i="3"/>
  <c r="O538" i="3"/>
  <c r="M538" i="3"/>
  <c r="L538" i="3"/>
  <c r="I538" i="3"/>
  <c r="H538" i="3"/>
  <c r="AW537" i="3"/>
  <c r="AA537" i="3" s="1"/>
  <c r="U537" i="3"/>
  <c r="O537" i="3"/>
  <c r="M537" i="3"/>
  <c r="L537" i="3"/>
  <c r="I537" i="3"/>
  <c r="H537" i="3"/>
  <c r="AW536" i="3"/>
  <c r="AA536" i="3" s="1"/>
  <c r="U536" i="3"/>
  <c r="O536" i="3"/>
  <c r="M536" i="3"/>
  <c r="L536" i="3"/>
  <c r="I536" i="3"/>
  <c r="H536" i="3"/>
  <c r="AW535" i="3"/>
  <c r="AA535" i="3" s="1"/>
  <c r="U535" i="3"/>
  <c r="O535" i="3"/>
  <c r="M535" i="3"/>
  <c r="L535" i="3"/>
  <c r="I535" i="3"/>
  <c r="H535" i="3"/>
  <c r="AW534" i="3"/>
  <c r="AA534" i="3" s="1"/>
  <c r="U534" i="3"/>
  <c r="O534" i="3"/>
  <c r="M534" i="3"/>
  <c r="L534" i="3"/>
  <c r="I534" i="3"/>
  <c r="H534" i="3"/>
  <c r="AW533" i="3"/>
  <c r="AA533" i="3" s="1"/>
  <c r="U533" i="3"/>
  <c r="O533" i="3"/>
  <c r="M533" i="3"/>
  <c r="L533" i="3"/>
  <c r="I533" i="3"/>
  <c r="H533" i="3"/>
  <c r="AW532" i="3"/>
  <c r="AA532" i="3" s="1"/>
  <c r="U532" i="3"/>
  <c r="O532" i="3"/>
  <c r="M532" i="3"/>
  <c r="I520" i="3"/>
  <c r="H520" i="3"/>
  <c r="AW519" i="3"/>
  <c r="AA519" i="3" s="1"/>
  <c r="U519" i="3"/>
  <c r="O519" i="3"/>
  <c r="M519" i="3"/>
  <c r="L519" i="3"/>
  <c r="I519" i="3"/>
  <c r="H519" i="3"/>
  <c r="AW518" i="3"/>
  <c r="AA518" i="3" s="1"/>
  <c r="U518" i="3"/>
  <c r="O518" i="3"/>
  <c r="M518" i="3"/>
  <c r="L518" i="3"/>
  <c r="I518" i="3"/>
  <c r="H518" i="3"/>
  <c r="AW517" i="3"/>
  <c r="AA517" i="3" s="1"/>
  <c r="U517" i="3"/>
  <c r="O517" i="3"/>
  <c r="M517" i="3"/>
  <c r="L517" i="3"/>
  <c r="I517" i="3"/>
  <c r="H517" i="3"/>
  <c r="AW516" i="3"/>
  <c r="AA516" i="3" s="1"/>
  <c r="U516" i="3"/>
  <c r="O516" i="3"/>
  <c r="M516" i="3"/>
  <c r="L516" i="3"/>
  <c r="I516" i="3"/>
  <c r="H516" i="3"/>
  <c r="AW515" i="3"/>
  <c r="AA515" i="3" s="1"/>
  <c r="U515" i="3"/>
  <c r="O515" i="3"/>
  <c r="M515" i="3"/>
  <c r="L515" i="3"/>
  <c r="I515" i="3"/>
  <c r="H515" i="3"/>
  <c r="AW514" i="3"/>
  <c r="AA514" i="3" s="1"/>
  <c r="U514" i="3"/>
  <c r="O514" i="3"/>
  <c r="M514" i="3"/>
  <c r="L514" i="3"/>
  <c r="I514" i="3"/>
  <c r="H514" i="3"/>
  <c r="AW513" i="3"/>
  <c r="AA513" i="3" s="1"/>
  <c r="U513" i="3"/>
  <c r="O513" i="3"/>
  <c r="M513" i="3"/>
  <c r="L513" i="3"/>
  <c r="I513" i="3"/>
  <c r="H513" i="3"/>
  <c r="AW512" i="3"/>
  <c r="AA512" i="3" s="1"/>
  <c r="M485" i="3"/>
  <c r="L485" i="3"/>
  <c r="I485" i="3"/>
  <c r="H485" i="3"/>
  <c r="AW484" i="3"/>
  <c r="AA484" i="3" s="1"/>
  <c r="U484" i="3"/>
  <c r="O484" i="3"/>
  <c r="M484" i="3"/>
  <c r="L484" i="3"/>
  <c r="I484" i="3"/>
  <c r="H484" i="3"/>
  <c r="AW483" i="3"/>
  <c r="AA483" i="3" s="1"/>
  <c r="U483" i="3"/>
  <c r="O483" i="3"/>
  <c r="M483" i="3"/>
  <c r="L483" i="3"/>
  <c r="I483" i="3"/>
  <c r="H483" i="3"/>
  <c r="AW482" i="3"/>
  <c r="AA482" i="3" s="1"/>
  <c r="U482" i="3"/>
  <c r="O482" i="3"/>
  <c r="M482" i="3"/>
  <c r="L482" i="3"/>
  <c r="I482" i="3"/>
  <c r="H482" i="3"/>
  <c r="AW481" i="3"/>
  <c r="AA481" i="3" s="1"/>
  <c r="U481" i="3"/>
  <c r="O481" i="3"/>
  <c r="M481" i="3"/>
  <c r="L481" i="3"/>
  <c r="I481" i="3"/>
  <c r="H481" i="3"/>
  <c r="AW480" i="3"/>
  <c r="AA480" i="3" s="1"/>
  <c r="U480" i="3"/>
  <c r="O480" i="3"/>
  <c r="M480" i="3"/>
  <c r="L480" i="3"/>
  <c r="I480" i="3"/>
  <c r="H480" i="3"/>
  <c r="AW479" i="3"/>
  <c r="AA479" i="3" s="1"/>
  <c r="U479" i="3"/>
  <c r="O479" i="3"/>
  <c r="I479" i="3"/>
  <c r="H479" i="3"/>
  <c r="AW478" i="3"/>
  <c r="AA478" i="3" s="1"/>
  <c r="U478" i="3"/>
  <c r="O478" i="3"/>
  <c r="M478" i="3"/>
  <c r="L478" i="3"/>
  <c r="I478" i="3"/>
  <c r="H478" i="3"/>
  <c r="AW477" i="3"/>
  <c r="AA477" i="3" s="1"/>
  <c r="U477" i="3"/>
  <c r="O477" i="3"/>
  <c r="M477" i="3"/>
  <c r="L477" i="3"/>
  <c r="I477" i="3"/>
  <c r="H477" i="3"/>
  <c r="AW476" i="3"/>
  <c r="AA476" i="3" s="1"/>
  <c r="U476" i="3"/>
  <c r="O476" i="3"/>
  <c r="M476" i="3"/>
  <c r="L476" i="3"/>
  <c r="I476" i="3"/>
  <c r="H476" i="3"/>
  <c r="AW475" i="3"/>
  <c r="AA475" i="3" s="1"/>
  <c r="U475" i="3"/>
  <c r="O475" i="3"/>
  <c r="M475" i="3"/>
  <c r="L475" i="3"/>
  <c r="I475" i="3"/>
  <c r="H475" i="3"/>
  <c r="AW474" i="3"/>
  <c r="AA474" i="3" s="1"/>
  <c r="U474" i="3"/>
  <c r="O474" i="3"/>
  <c r="M474" i="3"/>
  <c r="L474" i="3"/>
  <c r="I474" i="3"/>
  <c r="H474" i="3"/>
  <c r="AW473" i="3"/>
  <c r="AA473" i="3" s="1"/>
  <c r="U473" i="3"/>
  <c r="O473" i="3"/>
  <c r="M473" i="3"/>
  <c r="L473" i="3"/>
  <c r="I473" i="3"/>
  <c r="H473" i="3"/>
  <c r="AW472" i="3"/>
  <c r="AA472" i="3" s="1"/>
  <c r="U472" i="3"/>
  <c r="O472" i="3"/>
  <c r="M472" i="3"/>
  <c r="L472" i="3"/>
  <c r="I472" i="3"/>
  <c r="H472" i="3"/>
  <c r="AW471" i="3"/>
  <c r="AA471" i="3" s="1"/>
  <c r="U471" i="3"/>
  <c r="O471" i="3"/>
  <c r="M471" i="3"/>
  <c r="L471" i="3"/>
  <c r="I471" i="3"/>
  <c r="H471" i="3"/>
  <c r="AW470" i="3"/>
  <c r="AA470" i="3" s="1"/>
  <c r="U470" i="3"/>
  <c r="O470" i="3"/>
  <c r="M470" i="3"/>
  <c r="L470" i="3"/>
  <c r="I470" i="3"/>
  <c r="H470" i="3"/>
  <c r="AW469" i="3"/>
  <c r="AA469" i="3" s="1"/>
  <c r="U469" i="3"/>
  <c r="O469" i="3"/>
  <c r="M469" i="3"/>
  <c r="L469" i="3"/>
  <c r="I469" i="3"/>
  <c r="H469" i="3"/>
  <c r="AW468" i="3"/>
  <c r="AA468" i="3" s="1"/>
  <c r="U467" i="3"/>
  <c r="O467" i="3"/>
  <c r="M467" i="3"/>
  <c r="L467" i="3"/>
  <c r="I467" i="3"/>
  <c r="H467" i="3"/>
  <c r="AW466" i="3"/>
  <c r="AA466" i="3" s="1"/>
  <c r="U466" i="3"/>
  <c r="O466" i="3"/>
  <c r="M466" i="3"/>
  <c r="L466" i="3"/>
  <c r="I466" i="3"/>
  <c r="H466" i="3"/>
  <c r="AW465" i="3"/>
  <c r="AA465" i="3" s="1"/>
  <c r="U465" i="3"/>
  <c r="O465" i="3"/>
  <c r="M465" i="3"/>
  <c r="L465" i="3"/>
  <c r="I465" i="3"/>
  <c r="H465" i="3"/>
  <c r="AW464" i="3"/>
  <c r="AA464" i="3" s="1"/>
  <c r="U464" i="3"/>
  <c r="O464" i="3"/>
  <c r="M464" i="3"/>
  <c r="L464" i="3"/>
  <c r="I464" i="3"/>
  <c r="H464" i="3"/>
  <c r="AW463" i="3"/>
  <c r="AA463" i="3" s="1"/>
  <c r="U463" i="3"/>
  <c r="O463" i="3"/>
  <c r="M463" i="3"/>
  <c r="L463" i="3"/>
  <c r="I463" i="3"/>
  <c r="H463" i="3"/>
  <c r="AW462" i="3"/>
  <c r="AA462" i="3" s="1"/>
  <c r="U462" i="3"/>
  <c r="O462" i="3"/>
  <c r="M462" i="3"/>
  <c r="L462" i="3"/>
  <c r="I462" i="3"/>
  <c r="H462" i="3"/>
  <c r="AW461" i="3"/>
  <c r="AA461" i="3" s="1"/>
  <c r="U461" i="3"/>
  <c r="O461" i="3"/>
  <c r="M461" i="3"/>
  <c r="L461" i="3"/>
  <c r="I461" i="3"/>
  <c r="H461" i="3"/>
  <c r="AW460" i="3"/>
  <c r="AA460" i="3" s="1"/>
  <c r="U460" i="3"/>
  <c r="O460" i="3"/>
  <c r="M460" i="3"/>
  <c r="L460" i="3"/>
  <c r="I460" i="3"/>
  <c r="H460" i="3"/>
  <c r="AW459" i="3"/>
  <c r="AA459" i="3" s="1"/>
  <c r="U459" i="3"/>
  <c r="O459" i="3"/>
  <c r="M459" i="3"/>
  <c r="L459" i="3"/>
  <c r="I459" i="3"/>
  <c r="H459" i="3"/>
  <c r="AW458" i="3"/>
  <c r="AA458" i="3" s="1"/>
  <c r="U458" i="3"/>
  <c r="O458" i="3"/>
  <c r="M458" i="3"/>
  <c r="L458" i="3"/>
  <c r="I458" i="3"/>
  <c r="H458" i="3"/>
  <c r="AW457" i="3"/>
  <c r="AA457" i="3" s="1"/>
  <c r="U457" i="3"/>
  <c r="O457" i="3"/>
  <c r="M457" i="3"/>
  <c r="L457" i="3"/>
  <c r="I457" i="3"/>
  <c r="L423" i="3"/>
  <c r="I423" i="3"/>
  <c r="H423" i="3"/>
  <c r="AW422" i="3"/>
  <c r="AA422" i="3" s="1"/>
  <c r="U422" i="3"/>
  <c r="O422" i="3"/>
  <c r="M422" i="3"/>
  <c r="L422" i="3"/>
  <c r="I422" i="3"/>
  <c r="H422" i="3"/>
  <c r="AW421" i="3"/>
  <c r="AA421" i="3" s="1"/>
  <c r="U421" i="3"/>
  <c r="O421" i="3"/>
  <c r="M421" i="3"/>
  <c r="L421" i="3"/>
  <c r="I421" i="3"/>
  <c r="H421" i="3"/>
  <c r="AW420" i="3"/>
  <c r="AA420" i="3" s="1"/>
  <c r="U420" i="3"/>
  <c r="O420" i="3"/>
  <c r="M420" i="3"/>
  <c r="L420" i="3"/>
  <c r="I420" i="3"/>
  <c r="H420" i="3"/>
  <c r="AW419" i="3"/>
  <c r="AA419" i="3" s="1"/>
  <c r="U419" i="3"/>
  <c r="O419" i="3"/>
  <c r="M419" i="3"/>
  <c r="L419" i="3"/>
  <c r="I419" i="3"/>
  <c r="H419" i="3"/>
  <c r="AW418" i="3"/>
  <c r="AA418" i="3" s="1"/>
  <c r="U418" i="3"/>
  <c r="O418" i="3"/>
  <c r="M418" i="3"/>
  <c r="L418" i="3"/>
  <c r="I418" i="3"/>
  <c r="H418" i="3"/>
  <c r="AW417" i="3"/>
  <c r="AA417" i="3" s="1"/>
  <c r="U417" i="3"/>
  <c r="O417" i="3"/>
  <c r="M417" i="3"/>
  <c r="L417" i="3"/>
  <c r="I417" i="3"/>
  <c r="H417" i="3"/>
  <c r="AW416" i="3"/>
  <c r="AA416" i="3" s="1"/>
  <c r="U416" i="3"/>
  <c r="O416" i="3"/>
  <c r="M416" i="3"/>
  <c r="L416" i="3"/>
  <c r="I416" i="3"/>
  <c r="H416" i="3"/>
  <c r="AW415" i="3"/>
  <c r="AA415" i="3" s="1"/>
  <c r="U415" i="3"/>
  <c r="O415" i="3"/>
  <c r="M415" i="3"/>
  <c r="L415" i="3"/>
  <c r="I415" i="3"/>
  <c r="H415" i="3"/>
  <c r="AW414" i="3"/>
  <c r="AA414" i="3" s="1"/>
  <c r="U414" i="3"/>
  <c r="O414" i="3"/>
  <c r="M414" i="3"/>
  <c r="L414" i="3"/>
  <c r="I414" i="3"/>
  <c r="H414" i="3"/>
  <c r="AW413" i="3"/>
  <c r="AA413" i="3" s="1"/>
  <c r="U413" i="3"/>
  <c r="O413" i="3"/>
  <c r="M413" i="3"/>
  <c r="L413" i="3"/>
  <c r="I413" i="3"/>
  <c r="H413" i="3"/>
  <c r="AW412" i="3"/>
  <c r="AA412" i="3" s="1"/>
  <c r="U412" i="3"/>
  <c r="O412" i="3"/>
  <c r="M412" i="3"/>
  <c r="L412" i="3"/>
  <c r="I412" i="3"/>
  <c r="H412" i="3"/>
  <c r="AW411" i="3"/>
  <c r="AA411" i="3" s="1"/>
  <c r="U411" i="3"/>
  <c r="O411" i="3"/>
  <c r="M411" i="3"/>
  <c r="L411" i="3"/>
  <c r="I411" i="3"/>
  <c r="H411" i="3"/>
  <c r="AW410" i="3"/>
  <c r="AA410" i="3" s="1"/>
  <c r="U410" i="3"/>
  <c r="O410" i="3"/>
  <c r="M410" i="3"/>
  <c r="L410" i="3"/>
  <c r="I410" i="3"/>
  <c r="H410" i="3"/>
  <c r="AW409" i="3"/>
  <c r="AA409" i="3" s="1"/>
  <c r="U409" i="3"/>
  <c r="AW398" i="3"/>
  <c r="AA398" i="3" s="1"/>
  <c r="U398" i="3"/>
  <c r="O398" i="3"/>
  <c r="M398" i="3"/>
  <c r="L398" i="3"/>
  <c r="I398" i="3"/>
  <c r="H398" i="3"/>
  <c r="AW397" i="3"/>
  <c r="AA397" i="3" s="1"/>
  <c r="U397" i="3"/>
  <c r="O397" i="3"/>
  <c r="M363" i="3"/>
  <c r="L363" i="3"/>
  <c r="I363" i="3"/>
  <c r="H363" i="3"/>
  <c r="AW362" i="3"/>
  <c r="AA362" i="3" s="1"/>
  <c r="U362" i="3"/>
  <c r="O362" i="3"/>
  <c r="L335" i="3"/>
  <c r="I335" i="3"/>
  <c r="H335" i="3"/>
  <c r="AW334" i="3"/>
  <c r="AA334" i="3" s="1"/>
  <c r="U334" i="3"/>
  <c r="O334" i="3"/>
  <c r="M334" i="3"/>
  <c r="L334" i="3"/>
  <c r="I334" i="3"/>
  <c r="H334" i="3"/>
  <c r="AW333" i="3"/>
  <c r="AA333" i="3" s="1"/>
  <c r="U333" i="3"/>
  <c r="O333" i="3"/>
  <c r="M333" i="3"/>
  <c r="L333" i="3"/>
  <c r="I333" i="3"/>
  <c r="H333" i="3"/>
  <c r="AW332" i="3"/>
  <c r="AA332" i="3" s="1"/>
  <c r="U332" i="3"/>
  <c r="O332" i="3"/>
  <c r="M332" i="3"/>
  <c r="L332" i="3"/>
  <c r="I332" i="3"/>
  <c r="H332" i="3"/>
  <c r="AW331" i="3"/>
  <c r="AA331" i="3" s="1"/>
  <c r="U331" i="3"/>
  <c r="O331" i="3"/>
  <c r="M331" i="3"/>
  <c r="L331" i="3"/>
  <c r="I331" i="3"/>
  <c r="H331" i="3"/>
  <c r="AW330" i="3"/>
  <c r="AA330" i="3" s="1"/>
  <c r="U330" i="3"/>
  <c r="O330" i="3"/>
  <c r="M330" i="3"/>
  <c r="L330" i="3"/>
  <c r="I330" i="3"/>
  <c r="H330" i="3"/>
  <c r="AW329" i="3"/>
  <c r="AA329" i="3" s="1"/>
  <c r="U329" i="3"/>
  <c r="O329" i="3"/>
  <c r="M329" i="3"/>
  <c r="L329" i="3"/>
  <c r="I329" i="3"/>
  <c r="H329" i="3"/>
  <c r="AW328" i="3"/>
  <c r="AA328" i="3" s="1"/>
  <c r="U328" i="3"/>
  <c r="O328" i="3"/>
  <c r="M328" i="3"/>
  <c r="L328" i="3"/>
  <c r="I328" i="3"/>
  <c r="H328" i="3"/>
  <c r="AW327" i="3"/>
  <c r="AA327" i="3" s="1"/>
  <c r="U327" i="3"/>
  <c r="O327" i="3"/>
  <c r="M327" i="3"/>
  <c r="L327" i="3"/>
  <c r="I327" i="3"/>
  <c r="H327" i="3"/>
  <c r="AW326" i="3"/>
  <c r="AA326" i="3" s="1"/>
  <c r="U326" i="3"/>
  <c r="O326" i="3"/>
  <c r="M326" i="3"/>
  <c r="L326" i="3"/>
  <c r="I326" i="3"/>
  <c r="H326" i="3"/>
  <c r="AW325" i="3"/>
  <c r="AA325" i="3" s="1"/>
  <c r="U325" i="3"/>
  <c r="O325" i="3"/>
  <c r="M325" i="3"/>
  <c r="L325" i="3"/>
  <c r="I325" i="3"/>
  <c r="H325" i="3"/>
  <c r="AW324" i="3"/>
  <c r="AA324" i="3" s="1"/>
  <c r="U324" i="3"/>
  <c r="O324" i="3"/>
  <c r="M324" i="3"/>
  <c r="L324" i="3"/>
  <c r="I324" i="3"/>
  <c r="H324" i="3"/>
  <c r="AW323" i="3"/>
  <c r="AA323" i="3" s="1"/>
  <c r="U323" i="3"/>
  <c r="O323" i="3"/>
  <c r="M323" i="3"/>
  <c r="L323" i="3"/>
  <c r="I323" i="3"/>
  <c r="H323" i="3"/>
  <c r="AW322" i="3"/>
  <c r="AA322" i="3" s="1"/>
  <c r="U322" i="3"/>
  <c r="O322" i="3"/>
  <c r="M322" i="3"/>
  <c r="L322" i="3"/>
  <c r="I322" i="3"/>
  <c r="H322" i="3"/>
  <c r="AW321" i="3"/>
  <c r="AA321" i="3" s="1"/>
  <c r="U321" i="3"/>
  <c r="O321" i="3"/>
  <c r="M321" i="3"/>
  <c r="L321" i="3"/>
  <c r="I321" i="3"/>
  <c r="H321" i="3"/>
  <c r="AW320" i="3"/>
  <c r="AA320" i="3" s="1"/>
  <c r="U320" i="3"/>
  <c r="O320" i="3"/>
  <c r="M320" i="3"/>
  <c r="L320" i="3"/>
  <c r="I320" i="3"/>
  <c r="H320" i="3"/>
  <c r="AW319" i="3"/>
  <c r="AA319" i="3" s="1"/>
  <c r="U319" i="3"/>
  <c r="O319" i="3"/>
  <c r="M319" i="3"/>
  <c r="L319" i="3"/>
  <c r="I319" i="3"/>
  <c r="H319" i="3"/>
  <c r="AW318" i="3"/>
  <c r="AA318" i="3" s="1"/>
  <c r="M313" i="3"/>
  <c r="L313" i="3"/>
  <c r="I313" i="3"/>
  <c r="H313" i="3"/>
  <c r="AW312" i="3"/>
  <c r="AA312" i="3" s="1"/>
  <c r="U312" i="3"/>
  <c r="O312" i="3"/>
  <c r="M312" i="3"/>
  <c r="L312" i="3"/>
  <c r="I312" i="3"/>
  <c r="H312" i="3"/>
  <c r="AW311" i="3"/>
  <c r="AA311" i="3" s="1"/>
  <c r="U311" i="3"/>
  <c r="O311" i="3"/>
  <c r="M311" i="3"/>
  <c r="L311" i="3"/>
  <c r="I311" i="3"/>
  <c r="H311" i="3"/>
  <c r="AW310" i="3"/>
  <c r="AA310" i="3" s="1"/>
  <c r="U310" i="3"/>
  <c r="O310" i="3"/>
  <c r="O297" i="3"/>
  <c r="M297" i="3"/>
  <c r="L297" i="3"/>
  <c r="I297" i="3"/>
  <c r="H297" i="3"/>
  <c r="AW296" i="3"/>
  <c r="AA296" i="3" s="1"/>
  <c r="U296" i="3"/>
  <c r="O296" i="3"/>
  <c r="M296" i="3"/>
  <c r="L296" i="3"/>
  <c r="I296" i="3"/>
  <c r="H296" i="3"/>
  <c r="I259" i="3"/>
  <c r="H259" i="3"/>
  <c r="AW258" i="3"/>
  <c r="AA258" i="3" s="1"/>
  <c r="U258" i="3"/>
  <c r="O258" i="3"/>
  <c r="M258" i="3"/>
  <c r="L258" i="3"/>
  <c r="I258" i="3"/>
  <c r="H258" i="3"/>
  <c r="AW257" i="3"/>
  <c r="AA257" i="3" s="1"/>
  <c r="U257" i="3"/>
  <c r="O257" i="3"/>
  <c r="M257" i="3"/>
  <c r="L257" i="3"/>
  <c r="I257" i="3"/>
  <c r="H257" i="3"/>
  <c r="AW256" i="3"/>
  <c r="AA256" i="3" s="1"/>
  <c r="U256" i="3"/>
  <c r="O256" i="3"/>
  <c r="M256" i="3"/>
  <c r="L256" i="3"/>
  <c r="I256" i="3"/>
  <c r="H256" i="3"/>
  <c r="AW255" i="3"/>
  <c r="AA255" i="3" s="1"/>
  <c r="U255" i="3"/>
  <c r="O255" i="3"/>
  <c r="M255" i="3"/>
  <c r="L255" i="3"/>
  <c r="I255" i="3"/>
  <c r="H255" i="3"/>
  <c r="AW254" i="3"/>
  <c r="AA254" i="3" s="1"/>
  <c r="U254" i="3"/>
  <c r="O254" i="3"/>
  <c r="M254" i="3"/>
  <c r="L254" i="3"/>
  <c r="I254" i="3"/>
  <c r="H254" i="3"/>
  <c r="AW253" i="3"/>
  <c r="AA253" i="3" s="1"/>
  <c r="U253" i="3"/>
  <c r="O253" i="3"/>
  <c r="M253" i="3"/>
  <c r="L253" i="3"/>
  <c r="I253" i="3"/>
  <c r="H253" i="3"/>
  <c r="AW252" i="3"/>
  <c r="AA252" i="3" s="1"/>
  <c r="U252" i="3"/>
  <c r="O252" i="3"/>
  <c r="M252" i="3"/>
  <c r="L252" i="3"/>
  <c r="I252" i="3"/>
  <c r="H252" i="3"/>
  <c r="AW251" i="3"/>
  <c r="AA251" i="3" s="1"/>
  <c r="U251" i="3"/>
  <c r="O251" i="3"/>
  <c r="M251" i="3"/>
  <c r="L251" i="3"/>
  <c r="I251" i="3"/>
  <c r="H251" i="3"/>
  <c r="AW250" i="3"/>
  <c r="AA250" i="3" s="1"/>
  <c r="U250" i="3"/>
  <c r="O250" i="3"/>
  <c r="M250" i="3"/>
  <c r="L250" i="3"/>
  <c r="I250" i="3"/>
  <c r="H250" i="3"/>
  <c r="AW249" i="3"/>
  <c r="AA249" i="3" s="1"/>
  <c r="U249" i="3"/>
  <c r="O249" i="3"/>
  <c r="M249" i="3"/>
  <c r="L249" i="3"/>
  <c r="I249" i="3"/>
  <c r="H249" i="3"/>
  <c r="AW248" i="3"/>
  <c r="AA248" i="3" s="1"/>
  <c r="U248" i="3"/>
  <c r="O248" i="3"/>
  <c r="M248" i="3"/>
  <c r="L248" i="3"/>
  <c r="I248" i="3"/>
  <c r="H248" i="3"/>
  <c r="AW247" i="3"/>
  <c r="AA247" i="3" s="1"/>
  <c r="U247" i="3"/>
  <c r="O247" i="3"/>
  <c r="M247" i="3"/>
  <c r="L247" i="3"/>
  <c r="I247" i="3"/>
  <c r="H247" i="3"/>
  <c r="U318" i="3"/>
  <c r="O318" i="3"/>
  <c r="M318" i="3"/>
  <c r="L318" i="3"/>
  <c r="I318" i="3"/>
  <c r="H318" i="3"/>
  <c r="AW317" i="3"/>
  <c r="AA317" i="3" s="1"/>
  <c r="U317" i="3"/>
  <c r="O317" i="3"/>
  <c r="M317" i="3"/>
  <c r="L317" i="3"/>
  <c r="I317" i="3"/>
  <c r="H317" i="3"/>
  <c r="AW316" i="3"/>
  <c r="AA316" i="3" s="1"/>
  <c r="U316" i="3"/>
  <c r="O316" i="3"/>
  <c r="M316" i="3"/>
  <c r="L316" i="3"/>
  <c r="I316" i="3"/>
  <c r="H316" i="3"/>
  <c r="AW315" i="3"/>
  <c r="AA315" i="3" s="1"/>
  <c r="U315" i="3"/>
  <c r="O315" i="3"/>
  <c r="M315" i="3"/>
  <c r="L315" i="3"/>
  <c r="I315" i="3"/>
  <c r="H315" i="3"/>
  <c r="AW314" i="3"/>
  <c r="AA314" i="3" s="1"/>
  <c r="U314" i="3"/>
  <c r="O314" i="3"/>
  <c r="M314" i="3"/>
  <c r="L314" i="3"/>
  <c r="I314" i="3"/>
  <c r="H314" i="3"/>
  <c r="AW313" i="3"/>
  <c r="AA313" i="3" s="1"/>
  <c r="U313" i="3"/>
  <c r="O313" i="3"/>
  <c r="U235" i="3"/>
  <c r="L233" i="3"/>
  <c r="I233" i="3"/>
  <c r="H233" i="3"/>
  <c r="AW232" i="3"/>
  <c r="AA232" i="3" s="1"/>
  <c r="U232" i="3"/>
  <c r="O232" i="3"/>
  <c r="M232" i="3"/>
  <c r="L232" i="3"/>
  <c r="I232" i="3"/>
  <c r="H232" i="3"/>
  <c r="AW231" i="3"/>
  <c r="AA231" i="3" s="1"/>
  <c r="U231" i="3"/>
  <c r="O231" i="3"/>
  <c r="M231" i="3"/>
  <c r="L231" i="3"/>
  <c r="I231" i="3"/>
  <c r="H231" i="3"/>
  <c r="AW230" i="3"/>
  <c r="AA230" i="3" s="1"/>
  <c r="U230" i="3"/>
  <c r="O230" i="3"/>
  <c r="M230" i="3"/>
  <c r="L230" i="3"/>
  <c r="I230" i="3"/>
  <c r="H230" i="3"/>
  <c r="AW229" i="3"/>
  <c r="AA229" i="3" s="1"/>
  <c r="U229" i="3"/>
  <c r="O229" i="3"/>
  <c r="M229" i="3"/>
  <c r="L229" i="3"/>
  <c r="I229" i="3"/>
  <c r="H229" i="3"/>
  <c r="U216" i="3"/>
  <c r="O216" i="3"/>
  <c r="M216" i="3"/>
  <c r="L216" i="3"/>
  <c r="I216" i="3"/>
  <c r="H216" i="3"/>
  <c r="H174" i="3"/>
  <c r="AW173" i="3"/>
  <c r="AA173" i="3" s="1"/>
  <c r="U173" i="3"/>
  <c r="O173" i="3"/>
  <c r="M173" i="3"/>
  <c r="L173" i="3"/>
  <c r="I173" i="3"/>
  <c r="H173" i="3"/>
  <c r="AW172" i="3"/>
  <c r="AA172" i="3" s="1"/>
  <c r="U172" i="3"/>
  <c r="O172" i="3"/>
  <c r="M172" i="3"/>
  <c r="L172" i="3"/>
  <c r="I172" i="3"/>
  <c r="H172" i="3"/>
  <c r="AW171" i="3"/>
  <c r="AA171" i="3" s="1"/>
  <c r="U171" i="3"/>
  <c r="O171" i="3"/>
  <c r="M171" i="3"/>
  <c r="L171" i="3"/>
  <c r="I171" i="3"/>
  <c r="H171" i="3"/>
  <c r="AW170" i="3"/>
  <c r="AA170" i="3" s="1"/>
  <c r="U170" i="3"/>
  <c r="O170" i="3"/>
  <c r="M170" i="3"/>
  <c r="L170" i="3"/>
  <c r="I170" i="3"/>
  <c r="H170" i="3"/>
  <c r="AW169" i="3"/>
  <c r="AA169" i="3" s="1"/>
  <c r="U169" i="3"/>
  <c r="O169" i="3"/>
  <c r="M169" i="3"/>
  <c r="L169" i="3"/>
  <c r="I169" i="3"/>
  <c r="H169" i="3"/>
  <c r="AW168" i="3"/>
  <c r="AA168" i="3" s="1"/>
  <c r="U168" i="3"/>
  <c r="O168" i="3"/>
  <c r="M168" i="3"/>
  <c r="L168" i="3"/>
  <c r="I168" i="3"/>
  <c r="H168" i="3"/>
  <c r="AW167" i="3"/>
  <c r="AA167" i="3" s="1"/>
  <c r="U167" i="3"/>
  <c r="O167" i="3"/>
  <c r="M167" i="3"/>
  <c r="L167" i="3"/>
  <c r="I167" i="3"/>
  <c r="H167" i="3"/>
  <c r="AW166" i="3"/>
  <c r="AA166" i="3" s="1"/>
  <c r="U166" i="3"/>
  <c r="O166" i="3"/>
  <c r="M166" i="3"/>
  <c r="L166" i="3"/>
  <c r="I166" i="3"/>
  <c r="H166" i="3"/>
  <c r="AW165" i="3"/>
  <c r="AA165" i="3" s="1"/>
  <c r="U165" i="3"/>
  <c r="O165" i="3"/>
  <c r="M165" i="3"/>
  <c r="L165" i="3"/>
  <c r="I165" i="3"/>
  <c r="H165" i="3"/>
  <c r="AW164" i="3"/>
  <c r="AA164" i="3" s="1"/>
  <c r="U164" i="3"/>
  <c r="O164" i="3"/>
  <c r="M164" i="3"/>
  <c r="L164" i="3"/>
  <c r="I164" i="3"/>
  <c r="H164" i="3"/>
  <c r="AW163" i="3"/>
  <c r="AA163" i="3" s="1"/>
  <c r="U163" i="3"/>
  <c r="O163" i="3"/>
  <c r="M163" i="3"/>
  <c r="L163" i="3"/>
  <c r="I163" i="3"/>
  <c r="H163" i="3"/>
  <c r="AW162" i="3"/>
  <c r="AA162" i="3" s="1"/>
  <c r="U162" i="3"/>
  <c r="O162" i="3"/>
  <c r="M162" i="3"/>
  <c r="L162" i="3"/>
  <c r="I162" i="3"/>
  <c r="H162" i="3"/>
  <c r="AW161" i="3"/>
  <c r="AA161" i="3" s="1"/>
  <c r="U161" i="3"/>
  <c r="O161" i="3"/>
  <c r="M161" i="3"/>
  <c r="L161" i="3"/>
  <c r="I161" i="3"/>
  <c r="H161" i="3"/>
  <c r="AW160" i="3"/>
  <c r="AA160" i="3" s="1"/>
  <c r="U160" i="3"/>
  <c r="O160" i="3"/>
  <c r="M160" i="3"/>
  <c r="L160" i="3"/>
  <c r="I160" i="3"/>
  <c r="H160" i="3"/>
  <c r="AW159" i="3"/>
  <c r="AA159" i="3" s="1"/>
  <c r="U159" i="3"/>
  <c r="O159" i="3"/>
  <c r="M159" i="3"/>
  <c r="L159" i="3"/>
  <c r="I159" i="3"/>
  <c r="H159" i="3"/>
  <c r="AW158" i="3"/>
  <c r="AA158" i="3" s="1"/>
  <c r="U158" i="3"/>
  <c r="O158" i="3"/>
  <c r="M158" i="3"/>
  <c r="M601" i="3"/>
  <c r="I158" i="3"/>
  <c r="H158" i="3"/>
  <c r="AW157" i="3"/>
  <c r="AA157" i="3" s="1"/>
  <c r="U157" i="3"/>
  <c r="O157" i="3"/>
  <c r="M157" i="3"/>
  <c r="L157" i="3"/>
  <c r="I157" i="3"/>
  <c r="H157" i="3"/>
  <c r="AW156" i="3"/>
  <c r="AA156" i="3" s="1"/>
  <c r="U156" i="3"/>
  <c r="O156" i="3"/>
  <c r="M156" i="3"/>
  <c r="L156" i="3"/>
  <c r="I156" i="3"/>
  <c r="H156" i="3"/>
  <c r="AW155" i="3"/>
  <c r="AA155" i="3" s="1"/>
  <c r="U155" i="3"/>
  <c r="O155" i="3"/>
  <c r="M155" i="3"/>
  <c r="L155" i="3"/>
  <c r="I155" i="3"/>
  <c r="H155" i="3"/>
  <c r="AW154" i="3"/>
  <c r="AA154" i="3" s="1"/>
  <c r="U154" i="3"/>
  <c r="O154" i="3"/>
  <c r="M154" i="3"/>
  <c r="L154" i="3"/>
  <c r="I154" i="3"/>
  <c r="H154" i="3"/>
  <c r="AW153" i="3"/>
  <c r="AA153" i="3" s="1"/>
  <c r="U153" i="3"/>
  <c r="O153" i="3"/>
  <c r="M153" i="3"/>
  <c r="L153" i="3"/>
  <c r="I153" i="3"/>
  <c r="H153" i="3"/>
  <c r="AW152" i="3"/>
  <c r="AA152" i="3" s="1"/>
  <c r="U152" i="3"/>
  <c r="O152" i="3"/>
  <c r="M152" i="3"/>
  <c r="L152" i="3"/>
  <c r="I152" i="3"/>
  <c r="H152" i="3"/>
  <c r="AW151" i="3"/>
  <c r="AA151" i="3" s="1"/>
  <c r="U151" i="3"/>
  <c r="O151" i="3"/>
  <c r="M151" i="3"/>
  <c r="L151" i="3"/>
  <c r="I151" i="3"/>
  <c r="H151" i="3"/>
  <c r="AW150" i="3"/>
  <c r="AA150" i="3" s="1"/>
  <c r="U150" i="3"/>
  <c r="O150" i="3"/>
  <c r="M150" i="3"/>
  <c r="L150" i="3"/>
  <c r="I150" i="3"/>
  <c r="H150" i="3"/>
  <c r="AW149" i="3"/>
  <c r="AA149" i="3" s="1"/>
  <c r="U149" i="3"/>
  <c r="O149" i="3"/>
  <c r="M149" i="3"/>
  <c r="L149" i="3"/>
  <c r="I149" i="3"/>
  <c r="H149" i="3"/>
  <c r="AW148" i="3"/>
  <c r="AA148" i="3" s="1"/>
  <c r="U148" i="3"/>
  <c r="O148" i="3"/>
  <c r="O108" i="3"/>
  <c r="M108" i="3"/>
  <c r="L108" i="3"/>
  <c r="I108" i="3"/>
  <c r="H108" i="3"/>
  <c r="AW107" i="3"/>
  <c r="AA107" i="3" s="1"/>
  <c r="U107" i="3"/>
  <c r="O107" i="3"/>
  <c r="M107" i="3"/>
  <c r="L107" i="3"/>
  <c r="I107" i="3"/>
  <c r="H107" i="3"/>
  <c r="AW106" i="3"/>
  <c r="AA106" i="3" s="1"/>
  <c r="U106" i="3"/>
  <c r="O106" i="3"/>
  <c r="M589" i="3"/>
  <c r="L589" i="3"/>
  <c r="AW588" i="3"/>
  <c r="AA588" i="3" s="1"/>
  <c r="M588" i="3"/>
  <c r="I588" i="3"/>
  <c r="U587" i="3"/>
  <c r="L587" i="3"/>
  <c r="AW586" i="3"/>
  <c r="AA586" i="3" s="1"/>
  <c r="U586" i="3"/>
  <c r="O586" i="3"/>
  <c r="M586" i="3"/>
  <c r="L586" i="3"/>
  <c r="I586" i="3"/>
  <c r="H586" i="3"/>
  <c r="AW585" i="3"/>
  <c r="AA585" i="3" s="1"/>
  <c r="U585" i="3"/>
  <c r="O585" i="3"/>
  <c r="M585" i="3"/>
  <c r="L585" i="3"/>
  <c r="I585" i="3"/>
  <c r="H585" i="3"/>
  <c r="AW584" i="3"/>
  <c r="AA584" i="3" s="1"/>
  <c r="U584" i="3"/>
  <c r="O584" i="3"/>
  <c r="M584" i="3"/>
  <c r="L584" i="3"/>
  <c r="I584" i="3"/>
  <c r="H584" i="3"/>
  <c r="AW583" i="3"/>
  <c r="AA583" i="3" s="1"/>
  <c r="U583" i="3"/>
  <c r="O583" i="3"/>
  <c r="L583" i="3"/>
  <c r="I583" i="3"/>
  <c r="H583" i="3"/>
  <c r="U582" i="3"/>
  <c r="M582" i="3"/>
  <c r="L582" i="3"/>
  <c r="H582" i="3"/>
  <c r="AW581" i="3"/>
  <c r="AA581" i="3" s="1"/>
  <c r="O581" i="3"/>
  <c r="M581" i="3"/>
  <c r="I581" i="3"/>
  <c r="AW580" i="3"/>
  <c r="AA580" i="3" s="1"/>
  <c r="O578" i="3"/>
  <c r="L578" i="3"/>
  <c r="I578" i="3"/>
  <c r="O577" i="3"/>
  <c r="L577" i="3"/>
  <c r="H577" i="3"/>
  <c r="U576" i="3"/>
  <c r="O576" i="3"/>
  <c r="M576" i="3"/>
  <c r="H576" i="3"/>
  <c r="U575" i="3"/>
  <c r="M575" i="3"/>
  <c r="I575" i="3"/>
  <c r="AW574" i="3"/>
  <c r="AA574" i="3" s="1"/>
  <c r="U574" i="3"/>
  <c r="M574" i="3"/>
  <c r="H574" i="3"/>
  <c r="U573" i="3"/>
  <c r="M573" i="3"/>
  <c r="I573" i="3"/>
  <c r="AW572" i="3"/>
  <c r="AA572" i="3" s="1"/>
  <c r="O572" i="3"/>
  <c r="L572" i="3"/>
  <c r="H572" i="3"/>
  <c r="U571" i="3"/>
  <c r="M571" i="3"/>
  <c r="L571" i="3"/>
  <c r="H571" i="3"/>
  <c r="U570" i="3"/>
  <c r="L570" i="3"/>
  <c r="AW569" i="3"/>
  <c r="AA569" i="3" s="1"/>
  <c r="U569" i="3"/>
  <c r="L569" i="3"/>
  <c r="H569" i="3"/>
  <c r="O568" i="3"/>
  <c r="L568" i="3"/>
  <c r="H568" i="3"/>
  <c r="U567" i="3"/>
  <c r="M567" i="3"/>
  <c r="H567" i="3"/>
  <c r="U566" i="3"/>
  <c r="M566" i="3"/>
  <c r="I566" i="3"/>
  <c r="AW565" i="3"/>
  <c r="AA565" i="3" s="1"/>
  <c r="O565" i="3"/>
  <c r="L565" i="3"/>
  <c r="H565" i="3"/>
  <c r="M106" i="3"/>
  <c r="L106" i="3"/>
  <c r="I106" i="3"/>
  <c r="H106" i="3"/>
  <c r="AW105" i="3"/>
  <c r="AA105" i="3" s="1"/>
  <c r="U105" i="3"/>
  <c r="O105" i="3"/>
  <c r="M105" i="3"/>
  <c r="L105" i="3"/>
  <c r="I105" i="3"/>
  <c r="H105" i="3"/>
  <c r="AW104" i="3"/>
  <c r="AA104" i="3" s="1"/>
  <c r="U104" i="3"/>
  <c r="O104" i="3"/>
  <c r="M104" i="3"/>
  <c r="L104" i="3"/>
  <c r="I104" i="3"/>
  <c r="H104" i="3"/>
  <c r="AW103" i="3"/>
  <c r="AA103" i="3" s="1"/>
  <c r="U103" i="3"/>
  <c r="O103" i="3"/>
  <c r="M103" i="3"/>
  <c r="L103" i="3"/>
  <c r="I103" i="3"/>
  <c r="H103" i="3"/>
  <c r="AW102" i="3"/>
  <c r="AA102" i="3" s="1"/>
  <c r="U102" i="3"/>
  <c r="O102" i="3"/>
  <c r="M102" i="3"/>
  <c r="L102" i="3"/>
  <c r="I102" i="3"/>
  <c r="H102" i="3"/>
  <c r="AW101" i="3"/>
  <c r="AA101" i="3" s="1"/>
  <c r="U101" i="3"/>
  <c r="O101" i="3"/>
  <c r="M101" i="3"/>
  <c r="L101" i="3"/>
  <c r="I101" i="3"/>
  <c r="H101" i="3"/>
  <c r="AW100" i="3"/>
  <c r="AA100" i="3" s="1"/>
  <c r="U100" i="3"/>
  <c r="O100" i="3"/>
  <c r="M100" i="3"/>
  <c r="L100" i="3"/>
  <c r="I100" i="3"/>
  <c r="H100" i="3"/>
  <c r="AW99" i="3"/>
  <c r="AA99" i="3" s="1"/>
  <c r="U99" i="3"/>
  <c r="O99" i="3"/>
  <c r="M99" i="3"/>
  <c r="L99" i="3"/>
  <c r="I99" i="3"/>
  <c r="H99" i="3"/>
  <c r="AW98" i="3"/>
  <c r="AA98" i="3" s="1"/>
  <c r="U98" i="3"/>
  <c r="O98" i="3"/>
  <c r="M98" i="3"/>
  <c r="L98" i="3"/>
  <c r="I98" i="3"/>
  <c r="H98" i="3"/>
  <c r="AW97" i="3"/>
  <c r="AA97" i="3" s="1"/>
  <c r="U97" i="3"/>
  <c r="O97" i="3"/>
  <c r="M97" i="3"/>
  <c r="L97" i="3"/>
  <c r="I97" i="3"/>
  <c r="H97" i="3"/>
  <c r="AW96" i="3"/>
  <c r="AA96" i="3" s="1"/>
  <c r="U96" i="3"/>
  <c r="O96" i="3"/>
  <c r="M96" i="3"/>
  <c r="L96" i="3"/>
  <c r="I96" i="3"/>
  <c r="H96" i="3"/>
  <c r="AW95" i="3"/>
  <c r="AA95" i="3" s="1"/>
  <c r="U95" i="3"/>
  <c r="O95" i="3"/>
  <c r="M95" i="3"/>
  <c r="L95" i="3"/>
  <c r="I95" i="3"/>
  <c r="H95" i="3"/>
  <c r="AW94" i="3"/>
  <c r="AA94" i="3" s="1"/>
  <c r="U94" i="3"/>
  <c r="O94" i="3"/>
  <c r="M94" i="3"/>
  <c r="L94" i="3"/>
  <c r="I94" i="3"/>
  <c r="H94" i="3"/>
  <c r="AW93" i="3"/>
  <c r="AA93" i="3" s="1"/>
  <c r="U93" i="3"/>
  <c r="O93" i="3"/>
  <c r="M93" i="3"/>
  <c r="L93" i="3"/>
  <c r="I93" i="3"/>
  <c r="H93" i="3"/>
  <c r="AW92" i="3"/>
  <c r="AA92" i="3" s="1"/>
  <c r="U92" i="3"/>
  <c r="O92" i="3"/>
  <c r="M92" i="3"/>
  <c r="L92" i="3"/>
  <c r="I92" i="3"/>
  <c r="H92" i="3"/>
  <c r="AW91" i="3"/>
  <c r="AA91" i="3" s="1"/>
  <c r="U91" i="3"/>
  <c r="O91" i="3"/>
  <c r="M91" i="3"/>
  <c r="L91" i="3"/>
  <c r="I91" i="3"/>
  <c r="H91" i="3"/>
  <c r="AW90" i="3"/>
  <c r="AA90" i="3" s="1"/>
  <c r="U90" i="3"/>
  <c r="O90" i="3"/>
  <c r="M90" i="3"/>
  <c r="L90" i="3"/>
  <c r="I90" i="3"/>
  <c r="H90" i="3"/>
  <c r="AW89" i="3"/>
  <c r="AA89" i="3" s="1"/>
  <c r="U89" i="3"/>
  <c r="O89" i="3"/>
  <c r="M89" i="3"/>
  <c r="L89" i="3"/>
  <c r="I89" i="3"/>
  <c r="H89" i="3"/>
  <c r="AW88" i="3"/>
  <c r="AA88" i="3" s="1"/>
  <c r="U88" i="3"/>
  <c r="O88" i="3"/>
  <c r="M88" i="3"/>
  <c r="L88" i="3"/>
  <c r="I88" i="3"/>
  <c r="H88" i="3"/>
  <c r="AW87" i="3"/>
  <c r="AA87" i="3" s="1"/>
  <c r="U87" i="3"/>
  <c r="O87" i="3"/>
  <c r="M87" i="3"/>
  <c r="L87" i="3"/>
  <c r="I87" i="3"/>
  <c r="H87" i="3"/>
  <c r="AW86" i="3"/>
  <c r="AA86" i="3" s="1"/>
  <c r="U86" i="3"/>
  <c r="O86" i="3"/>
  <c r="M86" i="3"/>
  <c r="L86" i="3"/>
  <c r="I86" i="3"/>
  <c r="H86" i="3"/>
  <c r="AW85" i="3"/>
  <c r="AA85" i="3" s="1"/>
  <c r="U85" i="3"/>
  <c r="O85" i="3"/>
  <c r="M85" i="3"/>
  <c r="L85" i="3"/>
  <c r="I85" i="3"/>
  <c r="H85" i="3"/>
  <c r="AW84" i="3"/>
  <c r="AA84" i="3" s="1"/>
  <c r="U84" i="3"/>
  <c r="O84" i="3"/>
  <c r="M84" i="3"/>
  <c r="L84" i="3"/>
  <c r="I84" i="3"/>
  <c r="H84" i="3"/>
  <c r="AW83" i="3"/>
  <c r="AA83" i="3" s="1"/>
  <c r="U83" i="3"/>
  <c r="O83" i="3"/>
  <c r="M83" i="3"/>
  <c r="L83" i="3"/>
  <c r="I83" i="3"/>
  <c r="H83" i="3"/>
  <c r="AW82" i="3"/>
  <c r="AA82" i="3" s="1"/>
  <c r="U82" i="3"/>
  <c r="O82" i="3"/>
  <c r="M82" i="3"/>
  <c r="L82" i="3"/>
  <c r="I82" i="3"/>
  <c r="H82" i="3"/>
  <c r="AW81" i="3"/>
  <c r="AA81" i="3" s="1"/>
  <c r="U81" i="3"/>
  <c r="O81" i="3"/>
  <c r="M81" i="3"/>
  <c r="L81" i="3"/>
  <c r="I81" i="3"/>
  <c r="H81" i="3"/>
  <c r="AW80" i="3"/>
  <c r="AA80" i="3" s="1"/>
  <c r="U80" i="3"/>
  <c r="O80" i="3"/>
  <c r="M80" i="3"/>
  <c r="L80" i="3"/>
  <c r="I80" i="3"/>
  <c r="H80" i="3"/>
  <c r="AW79" i="3"/>
  <c r="AA79" i="3" s="1"/>
  <c r="U79" i="3"/>
  <c r="O79" i="3"/>
  <c r="M79" i="3"/>
  <c r="L79" i="3"/>
  <c r="I79" i="3"/>
  <c r="H79" i="3"/>
  <c r="AW78" i="3"/>
  <c r="AA78" i="3" s="1"/>
  <c r="U78" i="3"/>
  <c r="O78" i="3"/>
  <c r="M78" i="3"/>
  <c r="L78" i="3"/>
  <c r="I78" i="3"/>
  <c r="H78" i="3"/>
  <c r="AW77" i="3"/>
  <c r="AA77" i="3" s="1"/>
  <c r="U77" i="3"/>
  <c r="O77" i="3"/>
  <c r="M77" i="3"/>
  <c r="L77" i="3"/>
  <c r="I77" i="3"/>
  <c r="H77" i="3"/>
  <c r="AW76" i="3"/>
  <c r="AA76" i="3" s="1"/>
  <c r="U76" i="3"/>
  <c r="O76" i="3"/>
  <c r="M76" i="3"/>
  <c r="L76" i="3"/>
  <c r="I76" i="3"/>
  <c r="H76" i="3"/>
  <c r="AW75" i="3"/>
  <c r="AA75" i="3" s="1"/>
  <c r="U75" i="3"/>
  <c r="O75" i="3"/>
  <c r="M75" i="3"/>
  <c r="L75" i="3"/>
  <c r="I75" i="3"/>
  <c r="H75" i="3"/>
  <c r="AW74" i="3"/>
  <c r="AA74" i="3" s="1"/>
  <c r="U74" i="3"/>
  <c r="O74" i="3"/>
  <c r="M74" i="3"/>
  <c r="L74" i="3"/>
  <c r="I74" i="3"/>
  <c r="H74" i="3"/>
  <c r="M73" i="3"/>
  <c r="L73" i="3"/>
  <c r="I73" i="3"/>
  <c r="M590" i="3"/>
  <c r="I590" i="3"/>
  <c r="AW589" i="3"/>
  <c r="AA589" i="3" s="1"/>
  <c r="O589" i="3"/>
  <c r="I589" i="3"/>
  <c r="O588" i="3"/>
  <c r="H588" i="3"/>
  <c r="O587" i="3"/>
  <c r="H587" i="3"/>
  <c r="H73" i="3"/>
  <c r="AW72" i="3"/>
  <c r="AA72" i="3" s="1"/>
  <c r="L158" i="3"/>
  <c r="O72" i="3"/>
  <c r="M72" i="3"/>
  <c r="L72" i="3"/>
  <c r="I72" i="3"/>
  <c r="H72" i="3"/>
  <c r="AW71" i="3"/>
  <c r="AA71" i="3" s="1"/>
  <c r="U27" i="3"/>
  <c r="O27" i="3"/>
  <c r="M27" i="3"/>
  <c r="L27" i="3"/>
  <c r="I27" i="3"/>
  <c r="H27" i="3"/>
  <c r="AW26" i="3"/>
  <c r="AA26" i="3" s="1"/>
  <c r="U26" i="3"/>
  <c r="O26" i="3"/>
  <c r="M26" i="3"/>
  <c r="L26" i="3"/>
  <c r="I26" i="3"/>
  <c r="H26" i="3"/>
  <c r="AW25" i="3"/>
  <c r="AA25" i="3" s="1"/>
  <c r="U25" i="3"/>
  <c r="O25" i="3"/>
  <c r="M25" i="3"/>
  <c r="L25" i="3"/>
  <c r="I25" i="3"/>
  <c r="H25" i="3"/>
  <c r="AW24" i="3"/>
  <c r="AA24" i="3" s="1"/>
  <c r="U24" i="3"/>
  <c r="O24" i="3"/>
  <c r="M24" i="3"/>
  <c r="L24" i="3"/>
  <c r="I24" i="3"/>
  <c r="H24" i="3"/>
  <c r="AW23" i="3"/>
  <c r="AA23" i="3" s="1"/>
  <c r="U23" i="3"/>
  <c r="O23" i="3"/>
  <c r="M23" i="3"/>
  <c r="L23" i="3"/>
  <c r="I23" i="3"/>
  <c r="H23" i="3"/>
  <c r="AW22" i="3"/>
  <c r="AA22" i="3" s="1"/>
  <c r="U22" i="3"/>
  <c r="O22" i="3"/>
  <c r="M22" i="3"/>
  <c r="L22" i="3"/>
  <c r="I22" i="3"/>
  <c r="H22" i="3"/>
  <c r="AW21" i="3"/>
  <c r="AA21" i="3" s="1"/>
  <c r="U21" i="3"/>
  <c r="O21" i="3"/>
  <c r="M21" i="3"/>
  <c r="L21" i="3"/>
  <c r="I21" i="3"/>
  <c r="H21" i="3"/>
  <c r="AW20" i="3"/>
  <c r="AA20" i="3" s="1"/>
  <c r="U20" i="3"/>
  <c r="O20" i="3"/>
  <c r="M20" i="3"/>
  <c r="L20" i="3"/>
  <c r="I20" i="3"/>
  <c r="H20" i="3"/>
  <c r="AW19" i="3"/>
  <c r="AA19" i="3" s="1"/>
  <c r="U19" i="3"/>
  <c r="O19" i="3"/>
  <c r="M19" i="3"/>
  <c r="L19" i="3"/>
  <c r="I19" i="3"/>
  <c r="H19" i="3"/>
  <c r="AW18" i="3"/>
  <c r="AA18" i="3" s="1"/>
  <c r="U18" i="3"/>
  <c r="O18" i="3"/>
  <c r="M18" i="3"/>
  <c r="L18" i="3"/>
  <c r="I18" i="3"/>
  <c r="H18" i="3"/>
  <c r="AW17" i="3"/>
  <c r="AA17" i="3" s="1"/>
  <c r="U17" i="3"/>
  <c r="O17" i="3"/>
  <c r="M17" i="3"/>
  <c r="L17" i="3"/>
  <c r="I17" i="3"/>
  <c r="H17" i="3"/>
  <c r="AW16" i="3"/>
  <c r="AA16" i="3" s="1"/>
  <c r="U16" i="3"/>
  <c r="O16" i="3"/>
  <c r="M16" i="3"/>
  <c r="L16" i="3"/>
  <c r="I16" i="3"/>
  <c r="H16" i="3"/>
  <c r="AW15" i="3"/>
  <c r="AA15" i="3" s="1"/>
  <c r="U15" i="3"/>
  <c r="O15" i="3"/>
  <c r="M15" i="3"/>
  <c r="L15" i="3"/>
  <c r="I15" i="3"/>
  <c r="H15" i="3"/>
  <c r="AW14" i="3"/>
  <c r="AA14" i="3" s="1"/>
  <c r="U14" i="3"/>
  <c r="O14" i="3"/>
  <c r="M14" i="3"/>
  <c r="L14" i="3"/>
  <c r="I14" i="3"/>
  <c r="H14" i="3"/>
  <c r="AW13" i="3"/>
  <c r="AA13" i="3" s="1"/>
  <c r="U13" i="3"/>
  <c r="O13" i="3"/>
  <c r="M13" i="3"/>
  <c r="L13" i="3"/>
  <c r="I13" i="3"/>
  <c r="H13" i="3"/>
  <c r="AW12" i="3"/>
  <c r="AA12" i="3" s="1"/>
  <c r="U12" i="3"/>
  <c r="O12" i="3"/>
  <c r="M12" i="3"/>
  <c r="L12" i="3"/>
  <c r="I12" i="3"/>
  <c r="H12" i="3"/>
  <c r="AW11" i="3"/>
  <c r="AA11" i="3" s="1"/>
  <c r="U11" i="3"/>
  <c r="O11" i="3"/>
  <c r="M11" i="3"/>
  <c r="L11" i="3"/>
  <c r="I11" i="3"/>
  <c r="H11" i="3"/>
  <c r="L601" i="3"/>
  <c r="I601" i="3"/>
  <c r="H601" i="3"/>
  <c r="AW600" i="3"/>
  <c r="AA600" i="3" s="1"/>
  <c r="U600" i="3"/>
  <c r="O600" i="3"/>
  <c r="M600" i="3"/>
  <c r="L600" i="3"/>
  <c r="I600" i="3"/>
  <c r="H600" i="3"/>
  <c r="AW599" i="3"/>
  <c r="AA599" i="3" s="1"/>
  <c r="U599" i="3"/>
  <c r="O599" i="3"/>
  <c r="M599" i="3"/>
  <c r="L599" i="3"/>
  <c r="I599" i="3"/>
  <c r="H599" i="3"/>
  <c r="AW598" i="3"/>
  <c r="AA598" i="3" s="1"/>
  <c r="U598" i="3"/>
  <c r="O598" i="3"/>
  <c r="M598" i="3"/>
  <c r="L598" i="3"/>
  <c r="I598" i="3"/>
  <c r="H598" i="3"/>
  <c r="AW597" i="3"/>
  <c r="AA597" i="3" s="1"/>
  <c r="U597" i="3"/>
  <c r="O597" i="3"/>
  <c r="M597" i="3"/>
  <c r="L597" i="3"/>
  <c r="I597" i="3"/>
  <c r="H597" i="3"/>
  <c r="AW596" i="3"/>
  <c r="AA596" i="3" s="1"/>
  <c r="U596" i="3"/>
  <c r="O596" i="3"/>
  <c r="M596" i="3"/>
  <c r="L596" i="3"/>
  <c r="I596" i="3"/>
  <c r="H596" i="3"/>
  <c r="AW595" i="3"/>
  <c r="AA595" i="3" s="1"/>
  <c r="U595" i="3"/>
  <c r="O595" i="3"/>
  <c r="M595" i="3"/>
  <c r="L595" i="3"/>
  <c r="I595" i="3"/>
  <c r="H595" i="3"/>
  <c r="AW594" i="3"/>
  <c r="AA594" i="3" s="1"/>
  <c r="U594" i="3"/>
  <c r="O594" i="3"/>
  <c r="M594" i="3"/>
  <c r="L594" i="3"/>
  <c r="I594" i="3"/>
  <c r="H594" i="3"/>
  <c r="AW593" i="3"/>
  <c r="AA593" i="3" s="1"/>
  <c r="U593" i="3"/>
  <c r="O593" i="3"/>
  <c r="M593" i="3"/>
  <c r="L593" i="3"/>
  <c r="I593" i="3"/>
  <c r="H593" i="3"/>
  <c r="AW592" i="3"/>
  <c r="AA592" i="3" s="1"/>
  <c r="U592" i="3"/>
  <c r="O592" i="3"/>
  <c r="M592" i="3"/>
  <c r="L592" i="3"/>
  <c r="I592" i="3"/>
  <c r="H592" i="3"/>
  <c r="AW591" i="3"/>
  <c r="AA591" i="3" s="1"/>
  <c r="U591" i="3"/>
  <c r="O591" i="3"/>
  <c r="M591" i="3"/>
  <c r="L591" i="3"/>
  <c r="I591" i="3"/>
  <c r="H591" i="3"/>
  <c r="AW590" i="3"/>
  <c r="AA590" i="3" s="1"/>
  <c r="U590" i="3"/>
  <c r="O590" i="3"/>
  <c r="L590" i="3"/>
  <c r="H590" i="3"/>
  <c r="U589" i="3"/>
  <c r="H589" i="3"/>
  <c r="U588" i="3"/>
  <c r="L588" i="3"/>
  <c r="AW587" i="3"/>
  <c r="AA587" i="3" s="1"/>
  <c r="M587" i="3"/>
  <c r="I587" i="3"/>
  <c r="U72" i="3"/>
  <c r="M583" i="3"/>
  <c r="AW582" i="3"/>
  <c r="AA582" i="3" s="1"/>
  <c r="O582" i="3"/>
  <c r="I582" i="3"/>
  <c r="U581" i="3"/>
  <c r="L581" i="3"/>
  <c r="H581" i="3"/>
  <c r="U580" i="3"/>
  <c r="O580" i="3"/>
  <c r="M580" i="3"/>
  <c r="L580" i="3"/>
  <c r="I580" i="3"/>
  <c r="H580" i="3"/>
  <c r="AW579" i="3"/>
  <c r="AA579" i="3" s="1"/>
  <c r="U579" i="3"/>
  <c r="O579" i="3"/>
  <c r="M579" i="3"/>
  <c r="L579" i="3"/>
  <c r="I579" i="3"/>
  <c r="H579" i="3"/>
  <c r="AW578" i="3"/>
  <c r="AA578" i="3" s="1"/>
  <c r="U578" i="3"/>
  <c r="M578" i="3"/>
  <c r="H578" i="3"/>
  <c r="AW577" i="3"/>
  <c r="AA577" i="3" s="1"/>
  <c r="U577" i="3"/>
  <c r="M577" i="3"/>
  <c r="I577" i="3"/>
  <c r="AW576" i="3"/>
  <c r="AA576" i="3" s="1"/>
  <c r="L576" i="3"/>
  <c r="I576" i="3"/>
  <c r="AW575" i="3"/>
  <c r="AA575" i="3" s="1"/>
  <c r="O575" i="3"/>
  <c r="L575" i="3"/>
  <c r="H575" i="3"/>
  <c r="O574" i="3"/>
  <c r="L574" i="3"/>
  <c r="I574" i="3"/>
  <c r="AW573" i="3"/>
  <c r="AA573" i="3" s="1"/>
  <c r="O573" i="3"/>
  <c r="L573" i="3"/>
  <c r="H573" i="3"/>
  <c r="U572" i="3"/>
  <c r="M572" i="3"/>
  <c r="I572" i="3"/>
  <c r="AW571" i="3"/>
  <c r="AA571" i="3" s="1"/>
  <c r="O571" i="3"/>
  <c r="I571" i="3"/>
  <c r="AW570" i="3"/>
  <c r="AA570" i="3" s="1"/>
  <c r="O570" i="3"/>
  <c r="M570" i="3"/>
  <c r="I570" i="3"/>
  <c r="H570" i="3"/>
  <c r="O569" i="3"/>
  <c r="M569" i="3"/>
  <c r="I569" i="3"/>
  <c r="AW568" i="3"/>
  <c r="AA568" i="3" s="1"/>
  <c r="U568" i="3"/>
  <c r="M568" i="3"/>
  <c r="I568" i="3"/>
  <c r="AW567" i="3"/>
  <c r="AA567" i="3" s="1"/>
  <c r="O567" i="3"/>
  <c r="L567" i="3"/>
  <c r="I567" i="3"/>
  <c r="AW566" i="3"/>
  <c r="AA566" i="3" s="1"/>
  <c r="O566" i="3"/>
  <c r="L566" i="3"/>
  <c r="H566" i="3"/>
  <c r="U565" i="3"/>
  <c r="M565" i="3"/>
  <c r="I565" i="3"/>
  <c r="AW564" i="3"/>
  <c r="AA564" i="3" s="1"/>
  <c r="U564" i="3"/>
  <c r="U553" i="3"/>
  <c r="O553" i="3"/>
  <c r="M553" i="3"/>
  <c r="L553" i="3"/>
  <c r="I553" i="3"/>
  <c r="H553" i="3"/>
  <c r="AW552" i="3"/>
  <c r="AA552" i="3" s="1"/>
  <c r="U552" i="3"/>
  <c r="O552" i="3"/>
  <c r="M552" i="3"/>
  <c r="L552" i="3"/>
  <c r="I552" i="3"/>
  <c r="H552" i="3"/>
  <c r="AW551" i="3"/>
  <c r="AA551" i="3" s="1"/>
  <c r="U551" i="3"/>
  <c r="O551" i="3"/>
  <c r="M551" i="3"/>
  <c r="L551" i="3"/>
  <c r="I551" i="3"/>
  <c r="H551" i="3"/>
  <c r="AW550" i="3"/>
  <c r="AA550" i="3" s="1"/>
  <c r="U550" i="3"/>
  <c r="O550" i="3"/>
  <c r="M550" i="3"/>
  <c r="L550" i="3"/>
  <c r="I550" i="3"/>
  <c r="H550" i="3"/>
  <c r="AW549" i="3"/>
  <c r="AA549" i="3" s="1"/>
  <c r="U549" i="3"/>
  <c r="M479" i="3"/>
  <c r="L479" i="3"/>
  <c r="O235" i="3"/>
  <c r="M235" i="3"/>
  <c r="L235" i="3"/>
  <c r="I235" i="3"/>
  <c r="H235" i="3"/>
  <c r="AW234" i="3"/>
  <c r="AA234" i="3" s="1"/>
  <c r="U234" i="3"/>
  <c r="O234" i="3"/>
  <c r="M234" i="3"/>
  <c r="L234" i="3"/>
  <c r="I234" i="3"/>
  <c r="H234" i="3"/>
  <c r="AW233" i="3"/>
  <c r="AA233" i="3" s="1"/>
  <c r="U233" i="3"/>
  <c r="O233" i="3"/>
  <c r="M233" i="3"/>
  <c r="AW73" i="3"/>
  <c r="AA73" i="3" s="1"/>
  <c r="U73" i="3"/>
  <c r="O73" i="3"/>
  <c r="H548" i="3"/>
  <c r="AW547" i="3"/>
  <c r="AA547" i="3" s="1"/>
  <c r="U547" i="3"/>
  <c r="O547" i="3"/>
  <c r="M547" i="3"/>
  <c r="L547" i="3"/>
  <c r="U468" i="3"/>
  <c r="O468" i="3"/>
  <c r="M468" i="3"/>
  <c r="L468" i="3"/>
  <c r="I468" i="3"/>
  <c r="H468" i="3"/>
  <c r="AW467" i="3"/>
  <c r="AA467" i="3" s="1"/>
  <c r="O409" i="3"/>
  <c r="M409" i="3"/>
  <c r="L409" i="3"/>
  <c r="I409" i="3"/>
  <c r="H409" i="3"/>
  <c r="AW408" i="3"/>
  <c r="AA408" i="3" s="1"/>
  <c r="U408" i="3"/>
  <c r="O408" i="3"/>
  <c r="M408" i="3"/>
  <c r="L408" i="3"/>
  <c r="I408" i="3"/>
  <c r="H408" i="3"/>
  <c r="AW407" i="3"/>
  <c r="AA407" i="3" s="1"/>
  <c r="U407" i="3"/>
  <c r="O407" i="3"/>
  <c r="M407" i="3"/>
  <c r="L407" i="3"/>
  <c r="I407" i="3"/>
  <c r="H407" i="3"/>
  <c r="AW406" i="3"/>
  <c r="AA406" i="3" s="1"/>
  <c r="U406" i="3"/>
  <c r="O406" i="3"/>
  <c r="M406" i="3"/>
  <c r="L406" i="3"/>
  <c r="I406" i="3"/>
  <c r="H406" i="3"/>
  <c r="AW405" i="3"/>
  <c r="AA405" i="3" s="1"/>
  <c r="U405" i="3"/>
  <c r="O405" i="3"/>
  <c r="M405" i="3"/>
  <c r="L405" i="3"/>
  <c r="I405" i="3"/>
  <c r="H405" i="3"/>
  <c r="AW404" i="3"/>
  <c r="AA404" i="3" s="1"/>
  <c r="U404" i="3"/>
  <c r="O404" i="3"/>
  <c r="M404" i="3"/>
  <c r="L404" i="3"/>
  <c r="I404" i="3"/>
  <c r="H404" i="3"/>
  <c r="AW403" i="3"/>
  <c r="AA403" i="3" s="1"/>
  <c r="U403" i="3"/>
  <c r="O403" i="3"/>
  <c r="M403" i="3"/>
  <c r="L403" i="3"/>
  <c r="I403" i="3"/>
  <c r="H403" i="3"/>
  <c r="AW402" i="3"/>
  <c r="AA402" i="3" s="1"/>
  <c r="U402" i="3"/>
  <c r="O402" i="3"/>
  <c r="M402" i="3"/>
  <c r="L402" i="3"/>
  <c r="I402" i="3"/>
  <c r="H402" i="3"/>
  <c r="AW401" i="3"/>
  <c r="AA401" i="3" s="1"/>
  <c r="U401" i="3"/>
  <c r="O401" i="3"/>
  <c r="M401" i="3"/>
  <c r="L401" i="3"/>
  <c r="I401" i="3"/>
  <c r="H401" i="3"/>
  <c r="AW400" i="3"/>
  <c r="AA400" i="3" s="1"/>
  <c r="U400" i="3"/>
  <c r="O400" i="3"/>
  <c r="M400" i="3"/>
  <c r="L400" i="3"/>
  <c r="I400" i="3"/>
  <c r="H400" i="3"/>
  <c r="AW399" i="3"/>
  <c r="AA399" i="3" s="1"/>
  <c r="U399" i="3"/>
  <c r="O399" i="3"/>
  <c r="M399" i="3"/>
  <c r="L399" i="3"/>
  <c r="I399" i="3"/>
  <c r="H399" i="3"/>
  <c r="AW295" i="3"/>
  <c r="AA295" i="3" s="1"/>
  <c r="U295" i="3"/>
  <c r="O295" i="3"/>
  <c r="M295" i="3"/>
  <c r="L295" i="3"/>
  <c r="I295" i="3"/>
  <c r="H295" i="3"/>
  <c r="AW294" i="3"/>
  <c r="AA294" i="3" s="1"/>
  <c r="U294" i="3"/>
  <c r="O294" i="3"/>
  <c r="M294" i="3"/>
  <c r="L294" i="3"/>
  <c r="I294" i="3"/>
  <c r="H294" i="3"/>
  <c r="AW293" i="3"/>
  <c r="AA293" i="3" s="1"/>
  <c r="U293" i="3"/>
  <c r="O293" i="3"/>
  <c r="M293" i="3"/>
  <c r="L293" i="3"/>
  <c r="I293" i="3"/>
  <c r="H293" i="3"/>
  <c r="AW292" i="3"/>
  <c r="AA292" i="3" s="1"/>
  <c r="U292" i="3"/>
  <c r="O292" i="3"/>
  <c r="M292" i="3"/>
  <c r="L292" i="3"/>
  <c r="I292" i="3"/>
  <c r="H292" i="3"/>
  <c r="AW291" i="3"/>
  <c r="AA291" i="3" s="1"/>
  <c r="U291" i="3"/>
  <c r="O291" i="3"/>
  <c r="M291" i="3"/>
  <c r="L291" i="3"/>
  <c r="I291" i="3"/>
  <c r="H291" i="3"/>
  <c r="AW290" i="3"/>
  <c r="AA290" i="3" s="1"/>
  <c r="U290" i="3"/>
  <c r="O290" i="3"/>
  <c r="M290" i="3"/>
  <c r="L290" i="3"/>
  <c r="I290" i="3"/>
  <c r="H290" i="3"/>
  <c r="AW289" i="3"/>
  <c r="AA289" i="3" s="1"/>
  <c r="U289" i="3"/>
  <c r="O289" i="3"/>
  <c r="M289" i="3"/>
  <c r="L289" i="3"/>
  <c r="I289" i="3"/>
  <c r="H289" i="3"/>
  <c r="AW288" i="3"/>
  <c r="AA288" i="3" s="1"/>
  <c r="U288" i="3"/>
  <c r="O288" i="3"/>
  <c r="M288" i="3"/>
  <c r="L288" i="3"/>
  <c r="I288" i="3"/>
  <c r="H288" i="3"/>
  <c r="AW287" i="3"/>
  <c r="AA287" i="3" s="1"/>
  <c r="U287" i="3"/>
  <c r="O287" i="3"/>
  <c r="M287" i="3"/>
  <c r="U259" i="3"/>
  <c r="O259" i="3"/>
  <c r="M259" i="3"/>
  <c r="L259" i="3"/>
  <c r="AW215" i="3"/>
  <c r="AA215" i="3" s="1"/>
  <c r="U215" i="3"/>
  <c r="O215" i="3"/>
  <c r="M215" i="3"/>
  <c r="L215" i="3"/>
  <c r="I215" i="3"/>
  <c r="H215" i="3"/>
  <c r="AW214" i="3"/>
  <c r="AA214" i="3" s="1"/>
  <c r="U214" i="3"/>
  <c r="O214" i="3"/>
  <c r="M214" i="3"/>
  <c r="L214" i="3"/>
  <c r="I214" i="3"/>
  <c r="H214" i="3"/>
  <c r="AW213" i="3"/>
  <c r="AA213" i="3" s="1"/>
  <c r="U213" i="3"/>
  <c r="O213" i="3"/>
  <c r="M213" i="3"/>
  <c r="L213" i="3"/>
  <c r="I213" i="3"/>
  <c r="H213" i="3"/>
  <c r="AW212" i="3"/>
  <c r="AA212" i="3" s="1"/>
  <c r="U212" i="3"/>
  <c r="O212" i="3"/>
  <c r="M212" i="3"/>
  <c r="I187" i="3"/>
  <c r="H187" i="3"/>
  <c r="AW186" i="3"/>
  <c r="AA186" i="3" s="1"/>
  <c r="U186" i="3"/>
  <c r="O186" i="3"/>
  <c r="M186" i="3"/>
  <c r="L186" i="3"/>
  <c r="I186" i="3"/>
  <c r="H186" i="3"/>
  <c r="AW185" i="3"/>
  <c r="AA185" i="3" s="1"/>
  <c r="U185" i="3"/>
  <c r="O185" i="3"/>
  <c r="M185" i="3"/>
  <c r="L185" i="3"/>
  <c r="I185" i="3"/>
  <c r="H185" i="3"/>
  <c r="AW184" i="3"/>
  <c r="AA184" i="3" s="1"/>
  <c r="U184" i="3"/>
  <c r="O184" i="3"/>
  <c r="M184" i="3"/>
  <c r="L184" i="3"/>
  <c r="I184" i="3"/>
  <c r="H184" i="3"/>
  <c r="AW183" i="3"/>
  <c r="AA183" i="3" s="1"/>
  <c r="U183" i="3"/>
  <c r="O183" i="3"/>
  <c r="M183" i="3"/>
  <c r="L183" i="3"/>
  <c r="I183" i="3"/>
  <c r="H183" i="3"/>
  <c r="AW182" i="3"/>
  <c r="AA182" i="3" s="1"/>
  <c r="U182" i="3"/>
  <c r="O182" i="3"/>
  <c r="M182" i="3"/>
  <c r="L182" i="3"/>
  <c r="I182" i="3"/>
  <c r="H182" i="3"/>
  <c r="AW181" i="3"/>
  <c r="AA181" i="3" s="1"/>
  <c r="U181" i="3"/>
  <c r="O181" i="3"/>
  <c r="M181" i="3"/>
  <c r="L181" i="3"/>
  <c r="I181" i="3"/>
  <c r="H181" i="3"/>
  <c r="AW180" i="3"/>
  <c r="AA180" i="3" s="1"/>
  <c r="U180" i="3"/>
  <c r="O180" i="3"/>
  <c r="M180" i="3"/>
  <c r="L180" i="3"/>
  <c r="I180" i="3"/>
  <c r="H180" i="3"/>
  <c r="AW179" i="3"/>
  <c r="AA179" i="3" s="1"/>
  <c r="U179" i="3"/>
  <c r="O179" i="3"/>
  <c r="M179" i="3"/>
  <c r="L179" i="3"/>
  <c r="I179" i="3"/>
  <c r="H179" i="3"/>
  <c r="AW178" i="3"/>
  <c r="AA178" i="3" s="1"/>
  <c r="U178" i="3"/>
  <c r="O178" i="3"/>
  <c r="M178" i="3"/>
  <c r="L178" i="3"/>
  <c r="I178" i="3"/>
  <c r="H178" i="3"/>
  <c r="AW177" i="3"/>
  <c r="AA177" i="3" s="1"/>
  <c r="U177" i="3"/>
  <c r="O177" i="3"/>
  <c r="M177" i="3"/>
  <c r="L177" i="3"/>
  <c r="I177" i="3"/>
  <c r="H177" i="3"/>
  <c r="AW176" i="3"/>
  <c r="AA176" i="3" s="1"/>
  <c r="U176" i="3"/>
  <c r="O176" i="3"/>
  <c r="M176" i="3"/>
  <c r="L176" i="3"/>
  <c r="I176" i="3"/>
  <c r="H176" i="3"/>
  <c r="AW175" i="3"/>
  <c r="AA175" i="3" s="1"/>
  <c r="U175" i="3"/>
  <c r="O175" i="3"/>
  <c r="M175" i="3"/>
  <c r="L175" i="3"/>
  <c r="I175" i="3"/>
  <c r="H175" i="3"/>
  <c r="AW174" i="3"/>
  <c r="AA174" i="3" s="1"/>
  <c r="U174" i="3"/>
  <c r="O174" i="3"/>
  <c r="M174" i="3"/>
  <c r="L174" i="3"/>
  <c r="I174" i="3"/>
  <c r="U71" i="3"/>
  <c r="O71" i="3"/>
  <c r="M71" i="3"/>
  <c r="L71" i="3"/>
  <c r="I71" i="3"/>
  <c r="H71" i="3"/>
  <c r="AW70" i="3"/>
  <c r="AA70" i="3" s="1"/>
  <c r="U70" i="3"/>
  <c r="O70" i="3"/>
  <c r="M70" i="3"/>
  <c r="L70" i="3"/>
  <c r="I70" i="3"/>
  <c r="H70" i="3"/>
  <c r="AW69" i="3"/>
  <c r="AA69" i="3" s="1"/>
  <c r="U69" i="3"/>
  <c r="O69" i="3"/>
  <c r="M69" i="3"/>
  <c r="L69" i="3"/>
  <c r="I69" i="3"/>
  <c r="H69" i="3"/>
  <c r="AW68" i="3"/>
  <c r="AA68" i="3" s="1"/>
  <c r="U68" i="3"/>
  <c r="O68" i="3"/>
  <c r="M68" i="3"/>
  <c r="L68" i="3"/>
  <c r="I68" i="3"/>
  <c r="H32" i="3"/>
  <c r="AW31" i="3"/>
  <c r="AA31" i="3" s="1"/>
  <c r="U31" i="3"/>
  <c r="O31" i="3"/>
  <c r="M31" i="3"/>
  <c r="L31" i="3"/>
  <c r="I31" i="3"/>
  <c r="H31" i="3"/>
  <c r="AW30" i="3"/>
  <c r="AA30" i="3" s="1"/>
  <c r="U30" i="3"/>
  <c r="O30" i="3"/>
  <c r="M30" i="3"/>
  <c r="L30" i="3"/>
  <c r="I30" i="3"/>
  <c r="H30" i="3"/>
  <c r="AW29" i="3"/>
  <c r="AA29" i="3" s="1"/>
  <c r="U29" i="3"/>
  <c r="O29" i="3"/>
  <c r="M29" i="3"/>
  <c r="L29" i="3"/>
  <c r="I29" i="3"/>
  <c r="H29" i="3"/>
  <c r="AW28" i="3"/>
  <c r="AA28" i="3" s="1"/>
  <c r="U28" i="3"/>
  <c r="O28" i="3"/>
  <c r="M28" i="3"/>
  <c r="L28" i="3"/>
  <c r="I28" i="3"/>
  <c r="H28" i="3"/>
  <c r="AW27" i="3"/>
  <c r="AA27" i="3" s="1"/>
  <c r="H457" i="3"/>
  <c r="AW456" i="3"/>
  <c r="AA456" i="3" s="1"/>
  <c r="U456" i="3"/>
  <c r="O456" i="3"/>
  <c r="M456" i="3"/>
  <c r="L456" i="3"/>
  <c r="I456" i="3"/>
  <c r="H456" i="3"/>
  <c r="AW455" i="3"/>
  <c r="AA455" i="3" s="1"/>
  <c r="U455" i="3"/>
  <c r="O455" i="3"/>
  <c r="M455" i="3"/>
  <c r="L455" i="3"/>
  <c r="I455" i="3"/>
  <c r="H455" i="3"/>
  <c r="AW454" i="3"/>
  <c r="AA454" i="3" s="1"/>
  <c r="U454" i="3"/>
  <c r="O454" i="3"/>
  <c r="M454" i="3"/>
  <c r="L454" i="3"/>
  <c r="I454" i="3"/>
  <c r="H454" i="3"/>
  <c r="AW453" i="3"/>
  <c r="AA453" i="3" s="1"/>
  <c r="U453" i="3"/>
  <c r="O453" i="3"/>
  <c r="M453" i="3"/>
  <c r="L453" i="3"/>
  <c r="I453" i="3"/>
  <c r="H453" i="3"/>
  <c r="AW452" i="3"/>
  <c r="AA452" i="3" s="1"/>
  <c r="U452" i="3"/>
  <c r="O452" i="3"/>
  <c r="M452" i="3"/>
  <c r="L452" i="3"/>
  <c r="I452" i="3"/>
  <c r="H452" i="3"/>
  <c r="AW451" i="3"/>
  <c r="AA451" i="3" s="1"/>
  <c r="M397" i="3"/>
  <c r="L397" i="3"/>
  <c r="I397" i="3"/>
  <c r="H397" i="3"/>
  <c r="AW396" i="3"/>
  <c r="AA396" i="3" s="1"/>
  <c r="U396" i="3"/>
  <c r="O396" i="3"/>
  <c r="M396" i="3"/>
  <c r="L396" i="3"/>
  <c r="I396" i="3"/>
  <c r="H396" i="3"/>
  <c r="AW395" i="3"/>
  <c r="AA395" i="3" s="1"/>
  <c r="U395" i="3"/>
  <c r="O395" i="3"/>
  <c r="M395" i="3"/>
  <c r="L395" i="3"/>
  <c r="I395" i="3"/>
  <c r="H395" i="3"/>
  <c r="AW394" i="3"/>
  <c r="AA394" i="3" s="1"/>
  <c r="U394" i="3"/>
  <c r="O394" i="3"/>
  <c r="M394" i="3"/>
  <c r="AW379" i="3"/>
  <c r="AA379" i="3" s="1"/>
  <c r="U379" i="3"/>
  <c r="O379" i="3"/>
  <c r="M379" i="3"/>
  <c r="L379" i="3"/>
  <c r="I379" i="3"/>
  <c r="H379" i="3"/>
  <c r="AW378" i="3"/>
  <c r="AA378" i="3" s="1"/>
  <c r="U378" i="3"/>
  <c r="O378" i="3"/>
  <c r="M378" i="3"/>
  <c r="L378" i="3"/>
  <c r="I378" i="3"/>
  <c r="H378" i="3"/>
  <c r="AW377" i="3"/>
  <c r="AA377" i="3" s="1"/>
  <c r="U377" i="3"/>
  <c r="O377" i="3"/>
  <c r="M377" i="3"/>
  <c r="L377" i="3"/>
  <c r="I377" i="3"/>
  <c r="H377" i="3"/>
  <c r="AW376" i="3"/>
  <c r="AA376" i="3" s="1"/>
  <c r="U376" i="3"/>
  <c r="O376" i="3"/>
  <c r="M376" i="3"/>
  <c r="L376" i="3"/>
  <c r="I376" i="3"/>
  <c r="H376" i="3"/>
  <c r="AW375" i="3"/>
  <c r="AA375" i="3" s="1"/>
  <c r="U375" i="3"/>
  <c r="O375" i="3"/>
  <c r="M375" i="3"/>
  <c r="L375" i="3"/>
  <c r="I375" i="3"/>
  <c r="H375" i="3"/>
  <c r="AW374" i="3"/>
  <c r="AA374" i="3" s="1"/>
  <c r="U374" i="3"/>
  <c r="O374" i="3"/>
  <c r="M374" i="3"/>
  <c r="L374" i="3"/>
  <c r="I374" i="3"/>
  <c r="H374" i="3"/>
  <c r="AW373" i="3"/>
  <c r="AA373" i="3" s="1"/>
  <c r="U373" i="3"/>
  <c r="O373" i="3"/>
  <c r="M373" i="3"/>
  <c r="L373" i="3"/>
  <c r="I373" i="3"/>
  <c r="H373" i="3"/>
  <c r="AW372" i="3"/>
  <c r="AA372" i="3" s="1"/>
  <c r="U372" i="3"/>
  <c r="O372" i="3"/>
  <c r="M372" i="3"/>
  <c r="L372" i="3"/>
  <c r="I372" i="3"/>
  <c r="H372" i="3"/>
  <c r="AW371" i="3"/>
  <c r="AA371" i="3" s="1"/>
  <c r="U371" i="3"/>
  <c r="O371" i="3"/>
  <c r="M371" i="3"/>
  <c r="L371" i="3"/>
  <c r="I371" i="3"/>
  <c r="H371" i="3"/>
  <c r="AW370" i="3"/>
  <c r="AA370" i="3" s="1"/>
  <c r="U370" i="3"/>
  <c r="O370" i="3"/>
  <c r="M370" i="3"/>
  <c r="L370" i="3"/>
  <c r="I370" i="3"/>
  <c r="H370" i="3"/>
  <c r="AW369" i="3"/>
  <c r="AA369" i="3" s="1"/>
  <c r="U369" i="3"/>
  <c r="O369" i="3"/>
  <c r="M369" i="3"/>
  <c r="L369" i="3"/>
  <c r="I369" i="3"/>
  <c r="H369" i="3"/>
  <c r="AW368" i="3"/>
  <c r="AA368" i="3" s="1"/>
  <c r="U368" i="3"/>
  <c r="O368" i="3"/>
  <c r="M368" i="3"/>
  <c r="L368" i="3"/>
  <c r="I368" i="3"/>
  <c r="H368" i="3"/>
  <c r="AW367" i="3"/>
  <c r="AA367" i="3" s="1"/>
  <c r="U367" i="3"/>
  <c r="O367" i="3"/>
  <c r="M367" i="3"/>
  <c r="L367" i="3"/>
  <c r="I367" i="3"/>
  <c r="H367" i="3"/>
  <c r="AW366" i="3"/>
  <c r="AA366" i="3" s="1"/>
  <c r="U366" i="3"/>
  <c r="O366" i="3"/>
  <c r="M366" i="3"/>
  <c r="L366" i="3"/>
  <c r="I366" i="3"/>
  <c r="H366" i="3"/>
  <c r="AW365" i="3"/>
  <c r="AA365" i="3" s="1"/>
  <c r="U365" i="3"/>
  <c r="O365" i="3"/>
  <c r="M365" i="3"/>
  <c r="L365" i="3"/>
  <c r="I365" i="3"/>
  <c r="H365" i="3"/>
  <c r="AW364" i="3"/>
  <c r="AA364" i="3" s="1"/>
  <c r="U364" i="3"/>
  <c r="O364" i="3"/>
  <c r="M364" i="3"/>
  <c r="L364" i="3"/>
  <c r="I364" i="3"/>
  <c r="H364" i="3"/>
  <c r="AW363" i="3"/>
  <c r="AA363" i="3" s="1"/>
  <c r="U363" i="3"/>
  <c r="O363" i="3"/>
  <c r="M310" i="3"/>
  <c r="L310" i="3"/>
  <c r="I310" i="3"/>
  <c r="H310" i="3"/>
  <c r="I309" i="3"/>
  <c r="H309" i="3"/>
  <c r="AW308" i="3"/>
  <c r="AA308" i="3" s="1"/>
  <c r="U308" i="3"/>
  <c r="O308" i="3"/>
  <c r="M308" i="3"/>
  <c r="L308" i="3"/>
  <c r="I308" i="3"/>
  <c r="H308" i="3"/>
  <c r="AW307" i="3"/>
  <c r="AA307" i="3" s="1"/>
  <c r="U307" i="3"/>
  <c r="O307" i="3"/>
  <c r="M307" i="3"/>
  <c r="L307" i="3"/>
  <c r="I307" i="3"/>
  <c r="H307" i="3"/>
  <c r="AW306" i="3"/>
  <c r="AA306" i="3" s="1"/>
  <c r="U306" i="3"/>
  <c r="O306" i="3"/>
  <c r="M306" i="3"/>
  <c r="L306" i="3"/>
  <c r="I306" i="3"/>
  <c r="H306" i="3"/>
  <c r="AW305" i="3"/>
  <c r="AA305" i="3" s="1"/>
  <c r="U305" i="3"/>
  <c r="O305" i="3"/>
  <c r="M305" i="3"/>
  <c r="L305" i="3"/>
  <c r="I305" i="3"/>
  <c r="H305" i="3"/>
  <c r="AW304" i="3"/>
  <c r="AA304" i="3" s="1"/>
  <c r="U304" i="3"/>
  <c r="O304" i="3"/>
  <c r="M304" i="3"/>
  <c r="L304" i="3"/>
  <c r="I304" i="3"/>
  <c r="H304" i="3"/>
  <c r="AW303" i="3"/>
  <c r="AA303" i="3" s="1"/>
  <c r="U303" i="3"/>
  <c r="O303" i="3"/>
  <c r="M303" i="3"/>
  <c r="L303" i="3"/>
  <c r="I303" i="3"/>
  <c r="H303" i="3"/>
  <c r="AW302" i="3"/>
  <c r="AA302" i="3" s="1"/>
  <c r="U302" i="3"/>
  <c r="O302" i="3"/>
  <c r="M302" i="3"/>
  <c r="L302" i="3"/>
  <c r="I302" i="3"/>
  <c r="H302" i="3"/>
  <c r="AW301" i="3"/>
  <c r="AA301" i="3" s="1"/>
  <c r="U301" i="3"/>
  <c r="O301" i="3"/>
  <c r="M301" i="3"/>
  <c r="L301" i="3"/>
  <c r="I301" i="3"/>
  <c r="H301" i="3"/>
  <c r="AW300" i="3"/>
  <c r="AA300" i="3" s="1"/>
  <c r="U300" i="3"/>
  <c r="O300" i="3"/>
  <c r="M300" i="3"/>
  <c r="L300" i="3"/>
  <c r="I300" i="3"/>
  <c r="H300" i="3"/>
  <c r="AW299" i="3"/>
  <c r="AA299" i="3" s="1"/>
  <c r="U299" i="3"/>
  <c r="O299" i="3"/>
  <c r="M299" i="3"/>
  <c r="L299" i="3"/>
  <c r="I299" i="3"/>
  <c r="H299" i="3"/>
  <c r="AW298" i="3"/>
  <c r="AA298" i="3" s="1"/>
  <c r="U298" i="3"/>
  <c r="O298" i="3"/>
  <c r="M298" i="3"/>
  <c r="L298" i="3"/>
  <c r="I298" i="3"/>
  <c r="H298" i="3"/>
  <c r="AW297" i="3"/>
  <c r="AA297" i="3" s="1"/>
  <c r="U297" i="3"/>
  <c r="H68" i="3"/>
  <c r="AW67" i="3"/>
  <c r="AA67" i="3" s="1"/>
  <c r="U67" i="3"/>
  <c r="O67" i="3"/>
  <c r="M67" i="3"/>
  <c r="L67" i="3"/>
  <c r="I67" i="3"/>
  <c r="H67" i="3"/>
  <c r="AW66" i="3"/>
  <c r="AA66" i="3" s="1"/>
  <c r="U66" i="3"/>
  <c r="O66" i="3"/>
  <c r="M66" i="3"/>
  <c r="L66" i="3"/>
  <c r="I66" i="3"/>
  <c r="U9" i="3"/>
  <c r="O9" i="3"/>
  <c r="I9" i="3"/>
  <c r="H9" i="3"/>
  <c r="AW8" i="3"/>
  <c r="AA8" i="3" s="1"/>
  <c r="U8" i="3"/>
  <c r="O8" i="3"/>
  <c r="M8" i="3"/>
  <c r="L8" i="3"/>
  <c r="I8" i="3"/>
  <c r="H8" i="3"/>
  <c r="AW7" i="3"/>
  <c r="U7" i="3"/>
  <c r="O7" i="3"/>
  <c r="L7" i="3"/>
  <c r="I7" i="3"/>
  <c r="H7" i="3"/>
  <c r="AW6" i="3"/>
  <c r="U6" i="3"/>
  <c r="O6" i="3"/>
  <c r="L6" i="3"/>
  <c r="I6" i="3"/>
  <c r="H6" i="3"/>
  <c r="AW5" i="3"/>
  <c r="U5" i="3"/>
  <c r="O5" i="3"/>
  <c r="I5" i="3"/>
  <c r="H5" i="3"/>
  <c r="AW4" i="3"/>
  <c r="AA4" i="3" s="1"/>
  <c r="U4" i="3"/>
  <c r="O4" i="3"/>
  <c r="M4" i="3"/>
  <c r="L4" i="3"/>
  <c r="I4" i="3"/>
  <c r="H4" i="3"/>
  <c r="AW3" i="3"/>
  <c r="AA3" i="3" s="1"/>
  <c r="U3" i="3"/>
  <c r="O3" i="3"/>
  <c r="M3" i="3"/>
  <c r="L3" i="3"/>
  <c r="I3" i="3"/>
  <c r="H3" i="3"/>
  <c r="AW2" i="3"/>
  <c r="U2" i="3"/>
  <c r="O2" i="3"/>
  <c r="I2" i="3"/>
  <c r="H2" i="3"/>
  <c r="M32" i="3"/>
  <c r="L32" i="3"/>
  <c r="I32" i="3"/>
  <c r="AW541" i="3"/>
  <c r="AA541" i="3" s="1"/>
  <c r="AW309" i="3"/>
  <c r="AA309" i="3" s="1"/>
  <c r="U309" i="3"/>
  <c r="O309" i="3"/>
  <c r="M309" i="3"/>
  <c r="L309" i="3"/>
  <c r="U236" i="3"/>
  <c r="O236" i="3"/>
  <c r="M236" i="3"/>
  <c r="L236" i="3"/>
  <c r="L532" i="3"/>
  <c r="I532" i="3"/>
  <c r="H532" i="3"/>
  <c r="AW531" i="3"/>
  <c r="AA531" i="3" s="1"/>
  <c r="U531" i="3"/>
  <c r="O531" i="3"/>
  <c r="M531" i="3"/>
  <c r="L531" i="3"/>
  <c r="I531" i="3"/>
  <c r="H531" i="3"/>
  <c r="AW530" i="3"/>
  <c r="AA530" i="3" s="1"/>
  <c r="U530" i="3"/>
  <c r="O530" i="3"/>
  <c r="M530" i="3"/>
  <c r="L530" i="3"/>
  <c r="I530" i="3"/>
  <c r="H530" i="3"/>
  <c r="AW529" i="3"/>
  <c r="AA529" i="3" s="1"/>
  <c r="U529" i="3"/>
  <c r="O529" i="3"/>
  <c r="M529" i="3"/>
  <c r="L529" i="3"/>
  <c r="I529" i="3"/>
  <c r="H529" i="3"/>
  <c r="AW528" i="3"/>
  <c r="AA528" i="3" s="1"/>
  <c r="U528" i="3"/>
  <c r="O528" i="3"/>
  <c r="M528" i="3"/>
  <c r="L528" i="3"/>
  <c r="I528" i="3"/>
  <c r="H528" i="3"/>
  <c r="AW527" i="3"/>
  <c r="AA527" i="3" s="1"/>
  <c r="U527" i="3"/>
  <c r="O527" i="3"/>
  <c r="M527" i="3"/>
  <c r="L527" i="3"/>
  <c r="I527" i="3"/>
  <c r="H527" i="3"/>
  <c r="AW526" i="3"/>
  <c r="AA526" i="3" s="1"/>
  <c r="U526" i="3"/>
  <c r="O526" i="3"/>
  <c r="M526" i="3"/>
  <c r="L526" i="3"/>
  <c r="I526" i="3"/>
  <c r="H526" i="3"/>
  <c r="AW525" i="3"/>
  <c r="AA525" i="3" s="1"/>
  <c r="U525" i="3"/>
  <c r="O525" i="3"/>
  <c r="M525" i="3"/>
  <c r="L525" i="3"/>
  <c r="I525" i="3"/>
  <c r="H525" i="3"/>
  <c r="AW524" i="3"/>
  <c r="AA524" i="3" s="1"/>
  <c r="U524" i="3"/>
  <c r="O524" i="3"/>
  <c r="M524" i="3"/>
  <c r="L524" i="3"/>
  <c r="I524" i="3"/>
  <c r="H524" i="3"/>
  <c r="AW523" i="3"/>
  <c r="AA523" i="3" s="1"/>
  <c r="U523" i="3"/>
  <c r="O523" i="3"/>
  <c r="M523" i="3"/>
  <c r="L523" i="3"/>
  <c r="I523" i="3"/>
  <c r="H523" i="3"/>
  <c r="AW522" i="3"/>
  <c r="AA522" i="3" s="1"/>
  <c r="U522" i="3"/>
  <c r="O522" i="3"/>
  <c r="M522" i="3"/>
  <c r="L522" i="3"/>
  <c r="I522" i="3"/>
  <c r="H522" i="3"/>
  <c r="AW521" i="3"/>
  <c r="AA521" i="3" s="1"/>
  <c r="U521" i="3"/>
  <c r="O521" i="3"/>
  <c r="M521" i="3"/>
  <c r="L521" i="3"/>
  <c r="I521" i="3"/>
  <c r="H521" i="3"/>
  <c r="AW520" i="3"/>
  <c r="AA520" i="3" s="1"/>
  <c r="U520" i="3"/>
  <c r="O520" i="3"/>
  <c r="M520" i="3"/>
  <c r="L520" i="3"/>
  <c r="U449" i="3"/>
  <c r="O449" i="3"/>
  <c r="M449" i="3"/>
  <c r="L449" i="3"/>
  <c r="I449" i="3"/>
  <c r="H449" i="3"/>
  <c r="AW448" i="3"/>
  <c r="AA448" i="3" s="1"/>
  <c r="U448" i="3"/>
  <c r="O448" i="3"/>
  <c r="M448" i="3"/>
  <c r="L448" i="3"/>
  <c r="I448" i="3"/>
  <c r="H448" i="3"/>
  <c r="AW447" i="3"/>
  <c r="AA447" i="3" s="1"/>
  <c r="U447" i="3"/>
  <c r="O447" i="3"/>
  <c r="M447" i="3"/>
  <c r="L447" i="3"/>
  <c r="I447" i="3"/>
  <c r="H447" i="3"/>
  <c r="AW446" i="3"/>
  <c r="AA446" i="3" s="1"/>
  <c r="U446" i="3"/>
  <c r="O446" i="3"/>
  <c r="M446" i="3"/>
  <c r="L446" i="3"/>
  <c r="I446" i="3"/>
  <c r="H446" i="3"/>
  <c r="AW445" i="3"/>
  <c r="AA445" i="3" s="1"/>
  <c r="U445" i="3"/>
  <c r="O445" i="3"/>
  <c r="M445" i="3"/>
  <c r="L445" i="3"/>
  <c r="I445" i="3"/>
  <c r="H445" i="3"/>
  <c r="AW444" i="3"/>
  <c r="AA444" i="3" s="1"/>
  <c r="U444" i="3"/>
  <c r="O444" i="3"/>
  <c r="M444" i="3"/>
  <c r="L444" i="3"/>
  <c r="I444" i="3"/>
  <c r="H444" i="3"/>
  <c r="AW443" i="3"/>
  <c r="AA443" i="3" s="1"/>
  <c r="U443" i="3"/>
  <c r="O443" i="3"/>
  <c r="M443" i="3"/>
  <c r="L443" i="3"/>
  <c r="I443" i="3"/>
  <c r="H443" i="3"/>
  <c r="AW442" i="3"/>
  <c r="AA442" i="3" s="1"/>
  <c r="U442" i="3"/>
  <c r="O442" i="3"/>
  <c r="M442" i="3"/>
  <c r="L442" i="3"/>
  <c r="I442" i="3"/>
  <c r="H442" i="3"/>
  <c r="AW441" i="3"/>
  <c r="AA441" i="3" s="1"/>
  <c r="U441" i="3"/>
  <c r="O441" i="3"/>
  <c r="M441" i="3"/>
  <c r="L441" i="3"/>
  <c r="I441" i="3"/>
  <c r="H441" i="3"/>
  <c r="AW440" i="3"/>
  <c r="AA440" i="3" s="1"/>
  <c r="U440" i="3"/>
  <c r="O440" i="3"/>
  <c r="M440" i="3"/>
  <c r="L440" i="3"/>
  <c r="I440" i="3"/>
  <c r="H440" i="3"/>
  <c r="AW439" i="3"/>
  <c r="AA439" i="3" s="1"/>
  <c r="U439" i="3"/>
  <c r="O439" i="3"/>
  <c r="M439" i="3"/>
  <c r="L439" i="3"/>
  <c r="I439" i="3"/>
  <c r="H439" i="3"/>
  <c r="AW438" i="3"/>
  <c r="AA438" i="3" s="1"/>
  <c r="U438" i="3"/>
  <c r="O438" i="3"/>
  <c r="M438" i="3"/>
  <c r="L438" i="3"/>
  <c r="I438" i="3"/>
  <c r="H438" i="3"/>
  <c r="AW437" i="3"/>
  <c r="AA437" i="3" s="1"/>
  <c r="U437" i="3"/>
  <c r="O437" i="3"/>
  <c r="M437" i="3"/>
  <c r="L437" i="3"/>
  <c r="I437" i="3"/>
  <c r="H437" i="3"/>
  <c r="AW436" i="3"/>
  <c r="AA436" i="3" s="1"/>
  <c r="U436" i="3"/>
  <c r="O436" i="3"/>
  <c r="M436" i="3"/>
  <c r="L436" i="3"/>
  <c r="I436" i="3"/>
  <c r="H436" i="3"/>
  <c r="AW435" i="3"/>
  <c r="AA435" i="3" s="1"/>
  <c r="U435" i="3"/>
  <c r="O435" i="3"/>
  <c r="L394" i="3"/>
  <c r="I394" i="3"/>
  <c r="H394" i="3"/>
  <c r="AW393" i="3"/>
  <c r="AA393" i="3" s="1"/>
  <c r="U393" i="3"/>
  <c r="O393" i="3"/>
  <c r="M393" i="3"/>
  <c r="L393" i="3"/>
  <c r="I393" i="3"/>
  <c r="H393" i="3"/>
  <c r="AW392" i="3"/>
  <c r="AA392" i="3" s="1"/>
  <c r="U392" i="3"/>
  <c r="O392" i="3"/>
  <c r="M392" i="3"/>
  <c r="L392" i="3"/>
  <c r="I392" i="3"/>
  <c r="H392" i="3"/>
  <c r="AW391" i="3"/>
  <c r="AA391" i="3" s="1"/>
  <c r="U391" i="3"/>
  <c r="O391" i="3"/>
  <c r="M391" i="3"/>
  <c r="L391" i="3"/>
  <c r="I391" i="3"/>
  <c r="H391" i="3"/>
  <c r="AW390" i="3"/>
  <c r="AA390" i="3" s="1"/>
  <c r="U390" i="3"/>
  <c r="O390" i="3"/>
  <c r="M390" i="3"/>
  <c r="L390" i="3"/>
  <c r="I390" i="3"/>
  <c r="H390" i="3"/>
  <c r="AW389" i="3"/>
  <c r="AA389" i="3" s="1"/>
  <c r="U389" i="3"/>
  <c r="O389" i="3"/>
  <c r="M389" i="3"/>
  <c r="L389" i="3"/>
  <c r="I389" i="3"/>
  <c r="H389" i="3"/>
  <c r="AW388" i="3"/>
  <c r="AA388" i="3" s="1"/>
  <c r="U388" i="3"/>
  <c r="O388" i="3"/>
  <c r="M388" i="3"/>
  <c r="L388" i="3"/>
  <c r="I388" i="3"/>
  <c r="H388" i="3"/>
  <c r="AW387" i="3"/>
  <c r="AA387" i="3" s="1"/>
  <c r="U387" i="3"/>
  <c r="O387" i="3"/>
  <c r="M387" i="3"/>
  <c r="L387" i="3"/>
  <c r="I387" i="3"/>
  <c r="H387" i="3"/>
  <c r="AW386" i="3"/>
  <c r="AA386" i="3" s="1"/>
  <c r="U386" i="3"/>
  <c r="O386" i="3"/>
  <c r="M386" i="3"/>
  <c r="L386" i="3"/>
  <c r="I386" i="3"/>
  <c r="H386" i="3"/>
  <c r="AW385" i="3"/>
  <c r="AA385" i="3" s="1"/>
  <c r="U385" i="3"/>
  <c r="O385" i="3"/>
  <c r="M385" i="3"/>
  <c r="L385" i="3"/>
  <c r="I385" i="3"/>
  <c r="H385" i="3"/>
  <c r="AW384" i="3"/>
  <c r="AA384" i="3" s="1"/>
  <c r="U384" i="3"/>
  <c r="O384" i="3"/>
  <c r="M384" i="3"/>
  <c r="L384" i="3"/>
  <c r="I384" i="3"/>
  <c r="H384" i="3"/>
  <c r="AW383" i="3"/>
  <c r="AA383" i="3" s="1"/>
  <c r="U383" i="3"/>
  <c r="O383" i="3"/>
  <c r="M383" i="3"/>
  <c r="L383" i="3"/>
  <c r="I383" i="3"/>
  <c r="H383" i="3"/>
  <c r="AW382" i="3"/>
  <c r="AA382" i="3" s="1"/>
  <c r="U382" i="3"/>
  <c r="O382" i="3"/>
  <c r="M382" i="3"/>
  <c r="L382" i="3"/>
  <c r="I382" i="3"/>
  <c r="H382" i="3"/>
  <c r="AW381" i="3"/>
  <c r="AA381" i="3" s="1"/>
  <c r="U381" i="3"/>
  <c r="O381" i="3"/>
  <c r="M381" i="3"/>
  <c r="L381" i="3"/>
  <c r="I381" i="3"/>
  <c r="H381" i="3"/>
  <c r="AW380" i="3"/>
  <c r="AA380" i="3" s="1"/>
  <c r="U380" i="3"/>
  <c r="O380" i="3"/>
  <c r="M380" i="3"/>
  <c r="L380" i="3"/>
  <c r="I380" i="3"/>
  <c r="H380" i="3"/>
  <c r="AW228" i="3"/>
  <c r="AA228" i="3" s="1"/>
  <c r="U228" i="3"/>
  <c r="O228" i="3"/>
  <c r="M228" i="3"/>
  <c r="L228" i="3"/>
  <c r="I228" i="3"/>
  <c r="H228" i="3"/>
  <c r="AW227" i="3"/>
  <c r="AA227" i="3" s="1"/>
  <c r="U227" i="3"/>
  <c r="O227" i="3"/>
  <c r="M227" i="3"/>
  <c r="L227" i="3"/>
  <c r="I227" i="3"/>
  <c r="H227" i="3"/>
  <c r="AW226" i="3"/>
  <c r="AA226" i="3" s="1"/>
  <c r="U226" i="3"/>
  <c r="O226" i="3"/>
  <c r="M226" i="3"/>
  <c r="L226" i="3"/>
  <c r="I226" i="3"/>
  <c r="H226" i="3"/>
  <c r="AW225" i="3"/>
  <c r="AA225" i="3" s="1"/>
  <c r="U225" i="3"/>
  <c r="O225" i="3"/>
  <c r="M225" i="3"/>
  <c r="L225" i="3"/>
  <c r="I225" i="3"/>
  <c r="H225" i="3"/>
  <c r="AW224" i="3"/>
  <c r="AA224" i="3" s="1"/>
  <c r="U224" i="3"/>
  <c r="O224" i="3"/>
  <c r="M224" i="3"/>
  <c r="L224" i="3"/>
  <c r="I224" i="3"/>
  <c r="H224" i="3"/>
  <c r="AW223" i="3"/>
  <c r="AA223" i="3" s="1"/>
  <c r="U223" i="3"/>
  <c r="O223" i="3"/>
  <c r="M223" i="3"/>
  <c r="L223" i="3"/>
  <c r="I223" i="3"/>
  <c r="H223" i="3"/>
  <c r="AW222" i="3"/>
  <c r="AA222" i="3" s="1"/>
  <c r="U222" i="3"/>
  <c r="O222" i="3"/>
  <c r="M222" i="3"/>
  <c r="L222" i="3"/>
  <c r="I222" i="3"/>
  <c r="H222" i="3"/>
  <c r="AW221" i="3"/>
  <c r="AA221" i="3" s="1"/>
  <c r="U221" i="3"/>
  <c r="O221" i="3"/>
  <c r="M221" i="3"/>
  <c r="L221" i="3"/>
  <c r="I221" i="3"/>
  <c r="H221" i="3"/>
  <c r="AW220" i="3"/>
  <c r="AA220" i="3" s="1"/>
  <c r="U220" i="3"/>
  <c r="O220" i="3"/>
  <c r="M220" i="3"/>
  <c r="L220" i="3"/>
  <c r="I220" i="3"/>
  <c r="H220" i="3"/>
  <c r="AW219" i="3"/>
  <c r="AA219" i="3" s="1"/>
  <c r="U219" i="3"/>
  <c r="O219" i="3"/>
  <c r="M219" i="3"/>
  <c r="L219" i="3"/>
  <c r="I219" i="3"/>
  <c r="H219" i="3"/>
  <c r="AW218" i="3"/>
  <c r="AA218" i="3" s="1"/>
  <c r="U218" i="3"/>
  <c r="O218" i="3"/>
  <c r="M218" i="3"/>
  <c r="L218" i="3"/>
  <c r="I218" i="3"/>
  <c r="H218" i="3"/>
  <c r="AW217" i="3"/>
  <c r="AA217" i="3" s="1"/>
  <c r="U217" i="3"/>
  <c r="O217" i="3"/>
  <c r="M217" i="3"/>
  <c r="L217" i="3"/>
  <c r="I217" i="3"/>
  <c r="H217" i="3"/>
  <c r="AW216" i="3"/>
  <c r="AA216" i="3" s="1"/>
  <c r="M148" i="3"/>
  <c r="L148" i="3"/>
  <c r="I148" i="3"/>
  <c r="H148" i="3"/>
  <c r="AW147" i="3"/>
  <c r="AA147" i="3" s="1"/>
  <c r="U147" i="3"/>
  <c r="O147" i="3"/>
  <c r="M147" i="3"/>
  <c r="L147" i="3"/>
  <c r="I147" i="3"/>
  <c r="H147" i="3"/>
  <c r="AW146" i="3"/>
  <c r="AA146" i="3" s="1"/>
  <c r="U146" i="3"/>
  <c r="O146" i="3"/>
  <c r="M146" i="3"/>
  <c r="L146" i="3"/>
  <c r="I146" i="3"/>
  <c r="H146" i="3"/>
  <c r="AW145" i="3"/>
  <c r="AA145" i="3" s="1"/>
  <c r="U145" i="3"/>
  <c r="O145" i="3"/>
  <c r="M145" i="3"/>
  <c r="L145" i="3"/>
  <c r="I145" i="3"/>
  <c r="H145" i="3"/>
  <c r="AW144" i="3"/>
  <c r="AA144" i="3" s="1"/>
  <c r="U144" i="3"/>
  <c r="O144" i="3"/>
  <c r="M144" i="3"/>
  <c r="L144" i="3"/>
  <c r="I144" i="3"/>
  <c r="H144" i="3"/>
  <c r="AW143" i="3"/>
  <c r="AA143" i="3" s="1"/>
  <c r="U143" i="3"/>
  <c r="O143" i="3"/>
  <c r="M143" i="3"/>
  <c r="L143" i="3"/>
  <c r="I143" i="3"/>
  <c r="H143" i="3"/>
  <c r="AW142" i="3"/>
  <c r="AA142" i="3" s="1"/>
  <c r="U142" i="3"/>
  <c r="O142" i="3"/>
  <c r="M142" i="3"/>
  <c r="L142" i="3"/>
  <c r="I142" i="3"/>
  <c r="H142" i="3"/>
  <c r="AW141" i="3"/>
  <c r="AA141" i="3" s="1"/>
  <c r="U141" i="3"/>
  <c r="O141" i="3"/>
  <c r="M141" i="3"/>
  <c r="L141" i="3"/>
  <c r="I141" i="3"/>
  <c r="H141" i="3"/>
  <c r="AW140" i="3"/>
  <c r="AA140" i="3" s="1"/>
  <c r="U140" i="3"/>
  <c r="O140" i="3"/>
  <c r="M140" i="3"/>
  <c r="L140" i="3"/>
  <c r="I140" i="3"/>
  <c r="H140" i="3"/>
  <c r="AW139" i="3"/>
  <c r="AA139" i="3" s="1"/>
  <c r="U139" i="3"/>
  <c r="O139" i="3"/>
  <c r="M139" i="3"/>
  <c r="L139" i="3"/>
  <c r="I139" i="3"/>
  <c r="H139" i="3"/>
  <c r="AW138" i="3"/>
  <c r="AA138" i="3" s="1"/>
  <c r="U138" i="3"/>
  <c r="O138" i="3"/>
  <c r="M138" i="3"/>
  <c r="L138" i="3"/>
  <c r="I138" i="3"/>
  <c r="H138" i="3"/>
  <c r="AW137" i="3"/>
  <c r="AA137" i="3" s="1"/>
  <c r="U110" i="3"/>
  <c r="O110" i="3"/>
  <c r="M110" i="3"/>
  <c r="L110" i="3"/>
  <c r="I110" i="3"/>
  <c r="H110" i="3"/>
  <c r="AW109" i="3"/>
  <c r="AA109" i="3" s="1"/>
  <c r="U109" i="3"/>
  <c r="O109" i="3"/>
  <c r="M109" i="3"/>
  <c r="L109" i="3"/>
  <c r="I109" i="3"/>
  <c r="H109" i="3"/>
  <c r="AW108" i="3"/>
  <c r="AA108" i="3" s="1"/>
  <c r="U108" i="3"/>
  <c r="H66" i="3"/>
  <c r="AW65" i="3"/>
  <c r="AA65" i="3" s="1"/>
  <c r="U65" i="3"/>
  <c r="O65" i="3"/>
  <c r="M65" i="3"/>
  <c r="L65" i="3"/>
  <c r="I65" i="3"/>
  <c r="H65" i="3"/>
  <c r="AW64" i="3"/>
  <c r="AA64" i="3" s="1"/>
  <c r="U64" i="3"/>
  <c r="O64" i="3"/>
  <c r="M64" i="3"/>
  <c r="L64" i="3"/>
  <c r="I64" i="3"/>
  <c r="H64" i="3"/>
  <c r="AW63" i="3"/>
  <c r="AA63" i="3" s="1"/>
  <c r="U63" i="3"/>
  <c r="O63" i="3"/>
  <c r="M63" i="3"/>
  <c r="L63" i="3"/>
  <c r="I63" i="3"/>
  <c r="H63" i="3"/>
  <c r="AW62" i="3"/>
  <c r="AA62" i="3" s="1"/>
  <c r="U62" i="3"/>
  <c r="L39" i="3"/>
  <c r="I39" i="3"/>
  <c r="H39" i="3"/>
  <c r="AW38" i="3"/>
  <c r="AA38" i="3" s="1"/>
  <c r="U38" i="3"/>
  <c r="O38" i="3"/>
  <c r="M38" i="3"/>
  <c r="L38" i="3"/>
  <c r="I38" i="3"/>
  <c r="H38" i="3"/>
  <c r="AW37" i="3"/>
  <c r="AA37" i="3" s="1"/>
  <c r="U37" i="3"/>
  <c r="O37" i="3"/>
  <c r="M37" i="3"/>
  <c r="L37" i="3"/>
  <c r="I37" i="3"/>
  <c r="H37" i="3"/>
  <c r="AW36" i="3"/>
  <c r="AA36" i="3" s="1"/>
  <c r="U36" i="3"/>
  <c r="O36" i="3"/>
  <c r="M36" i="3"/>
  <c r="L36" i="3"/>
  <c r="I36" i="3"/>
  <c r="H36" i="3"/>
  <c r="AW35" i="3"/>
  <c r="AA35" i="3" s="1"/>
  <c r="U35" i="3"/>
  <c r="O35" i="3"/>
  <c r="M35" i="3"/>
  <c r="L35" i="3"/>
  <c r="I35" i="3"/>
  <c r="H35" i="3"/>
  <c r="AW34" i="3"/>
  <c r="AA34" i="3" s="1"/>
  <c r="U34" i="3"/>
  <c r="O34" i="3"/>
  <c r="M34" i="3"/>
  <c r="L34" i="3"/>
  <c r="I34" i="3"/>
  <c r="H34" i="3"/>
  <c r="AW33" i="3"/>
  <c r="AA33" i="3" s="1"/>
  <c r="U33" i="3"/>
  <c r="O33" i="3"/>
  <c r="M33" i="3"/>
  <c r="L33" i="3"/>
  <c r="I33" i="3"/>
  <c r="H33" i="3"/>
  <c r="AW32" i="3"/>
  <c r="AA32" i="3" s="1"/>
  <c r="U32" i="3"/>
  <c r="O32" i="3"/>
  <c r="AW10" i="3"/>
  <c r="U10" i="3"/>
  <c r="O10" i="3"/>
  <c r="I10" i="3"/>
  <c r="H10" i="3"/>
  <c r="AW9" i="3"/>
  <c r="AY10" i="3"/>
  <c r="U512" i="3"/>
  <c r="O512" i="3"/>
  <c r="M512" i="3"/>
  <c r="L512" i="3"/>
  <c r="I512" i="3"/>
  <c r="H512" i="3"/>
  <c r="AW511" i="3"/>
  <c r="AA511" i="3" s="1"/>
  <c r="U511" i="3"/>
  <c r="O511" i="3"/>
  <c r="M511" i="3"/>
  <c r="L511" i="3"/>
  <c r="I511" i="3"/>
  <c r="H511" i="3"/>
  <c r="AW510" i="3"/>
  <c r="AA510" i="3" s="1"/>
  <c r="U510" i="3"/>
  <c r="O510" i="3"/>
  <c r="M510" i="3"/>
  <c r="L510" i="3"/>
  <c r="I510" i="3"/>
  <c r="H510" i="3"/>
  <c r="AW509" i="3"/>
  <c r="AA509" i="3" s="1"/>
  <c r="U509" i="3"/>
  <c r="O509" i="3"/>
  <c r="M509" i="3"/>
  <c r="L509" i="3"/>
  <c r="I509" i="3"/>
  <c r="H509" i="3"/>
  <c r="AW508" i="3"/>
  <c r="AA508" i="3" s="1"/>
  <c r="U508" i="3"/>
  <c r="O508" i="3"/>
  <c r="M508" i="3"/>
  <c r="L508" i="3"/>
  <c r="I508" i="3"/>
  <c r="H508" i="3"/>
  <c r="AW507" i="3"/>
  <c r="AA507" i="3" s="1"/>
  <c r="U507" i="3"/>
  <c r="O507" i="3"/>
  <c r="M507" i="3"/>
  <c r="L507" i="3"/>
  <c r="I507" i="3"/>
  <c r="H507" i="3"/>
  <c r="AW506" i="3"/>
  <c r="AA506" i="3" s="1"/>
  <c r="U506" i="3"/>
  <c r="O506" i="3"/>
  <c r="M506" i="3"/>
  <c r="L506" i="3"/>
  <c r="I506" i="3"/>
  <c r="H506" i="3"/>
  <c r="AW505" i="3"/>
  <c r="AA505" i="3" s="1"/>
  <c r="U505" i="3"/>
  <c r="O505" i="3"/>
  <c r="M505" i="3"/>
  <c r="L505" i="3"/>
  <c r="I505" i="3"/>
  <c r="H505" i="3"/>
  <c r="AW504" i="3"/>
  <c r="AA504" i="3" s="1"/>
  <c r="U504" i="3"/>
  <c r="O504" i="3"/>
  <c r="M504" i="3"/>
  <c r="L504" i="3"/>
  <c r="I504" i="3"/>
  <c r="H504" i="3"/>
  <c r="AW503" i="3"/>
  <c r="AA503" i="3" s="1"/>
  <c r="U503" i="3"/>
  <c r="O503" i="3"/>
  <c r="M503" i="3"/>
  <c r="L503" i="3"/>
  <c r="I503" i="3"/>
  <c r="H503" i="3"/>
  <c r="AW502" i="3"/>
  <c r="AA502" i="3" s="1"/>
  <c r="U502" i="3"/>
  <c r="O502" i="3"/>
  <c r="M502" i="3"/>
  <c r="L502" i="3"/>
  <c r="I502" i="3"/>
  <c r="H502" i="3"/>
  <c r="AW501" i="3"/>
  <c r="AA501" i="3" s="1"/>
  <c r="U501" i="3"/>
  <c r="O501" i="3"/>
  <c r="M501" i="3"/>
  <c r="L501" i="3"/>
  <c r="I501" i="3"/>
  <c r="H501" i="3"/>
  <c r="AW500" i="3"/>
  <c r="AA500" i="3" s="1"/>
  <c r="U500" i="3"/>
  <c r="O500" i="3"/>
  <c r="M500" i="3"/>
  <c r="L500" i="3"/>
  <c r="I500" i="3"/>
  <c r="H500" i="3"/>
  <c r="AW499" i="3"/>
  <c r="AA499" i="3" s="1"/>
  <c r="U499" i="3"/>
  <c r="O499" i="3"/>
  <c r="M499" i="3"/>
  <c r="L499" i="3"/>
  <c r="I499" i="3"/>
  <c r="H499" i="3"/>
  <c r="AW498" i="3"/>
  <c r="AA498" i="3" s="1"/>
  <c r="U498" i="3"/>
  <c r="O498" i="3"/>
  <c r="M498" i="3"/>
  <c r="L498" i="3"/>
  <c r="I498" i="3"/>
  <c r="H498" i="3"/>
  <c r="AW497" i="3"/>
  <c r="AA497" i="3" s="1"/>
  <c r="U497" i="3"/>
  <c r="O497" i="3"/>
  <c r="M497" i="3"/>
  <c r="L497" i="3"/>
  <c r="I497" i="3"/>
  <c r="H497" i="3"/>
  <c r="AW496" i="3"/>
  <c r="AA496" i="3" s="1"/>
  <c r="U496" i="3"/>
  <c r="O496" i="3"/>
  <c r="M496" i="3"/>
  <c r="L496" i="3"/>
  <c r="I496" i="3"/>
  <c r="H496" i="3"/>
  <c r="AW495" i="3"/>
  <c r="AA495" i="3" s="1"/>
  <c r="U495" i="3"/>
  <c r="O495" i="3"/>
  <c r="M495" i="3"/>
  <c r="L495" i="3"/>
  <c r="I495" i="3"/>
  <c r="H495" i="3"/>
  <c r="AW494" i="3"/>
  <c r="AA494" i="3" s="1"/>
  <c r="U494" i="3"/>
  <c r="O494" i="3"/>
  <c r="M494" i="3"/>
  <c r="L494" i="3"/>
  <c r="I494" i="3"/>
  <c r="H494" i="3"/>
  <c r="AW493" i="3"/>
  <c r="AA493" i="3" s="1"/>
  <c r="U493" i="3"/>
  <c r="O493" i="3"/>
  <c r="M493" i="3"/>
  <c r="L493" i="3"/>
  <c r="I493" i="3"/>
  <c r="H493" i="3"/>
  <c r="AW492" i="3"/>
  <c r="AA492" i="3" s="1"/>
  <c r="U492" i="3"/>
  <c r="O492" i="3"/>
  <c r="M492" i="3"/>
  <c r="L492" i="3"/>
  <c r="I492" i="3"/>
  <c r="H492" i="3"/>
  <c r="AW491" i="3"/>
  <c r="AA491" i="3" s="1"/>
  <c r="U491" i="3"/>
  <c r="O491" i="3"/>
  <c r="M491" i="3"/>
  <c r="L491" i="3"/>
  <c r="I491" i="3"/>
  <c r="H491" i="3"/>
  <c r="AW490" i="3"/>
  <c r="AA490" i="3" s="1"/>
  <c r="U490" i="3"/>
  <c r="O490" i="3"/>
  <c r="M490" i="3"/>
  <c r="L490" i="3"/>
  <c r="I490" i="3"/>
  <c r="H490" i="3"/>
  <c r="AW489" i="3"/>
  <c r="AA489" i="3" s="1"/>
  <c r="U489" i="3"/>
  <c r="O489" i="3"/>
  <c r="M489" i="3"/>
  <c r="L489" i="3"/>
  <c r="I489" i="3"/>
  <c r="H489" i="3"/>
  <c r="AW488" i="3"/>
  <c r="AA488" i="3" s="1"/>
  <c r="U488" i="3"/>
  <c r="O488" i="3"/>
  <c r="M488" i="3"/>
  <c r="L488" i="3"/>
  <c r="I488" i="3"/>
  <c r="H488" i="3"/>
  <c r="AW487" i="3"/>
  <c r="AA487" i="3" s="1"/>
  <c r="U487" i="3"/>
  <c r="O487" i="3"/>
  <c r="M487" i="3"/>
  <c r="L487" i="3"/>
  <c r="I487" i="3"/>
  <c r="H487" i="3"/>
  <c r="AW486" i="3"/>
  <c r="AA486" i="3" s="1"/>
  <c r="U486" i="3"/>
  <c r="O486" i="3"/>
  <c r="M486" i="3"/>
  <c r="L486" i="3"/>
  <c r="I486" i="3"/>
  <c r="H486" i="3"/>
  <c r="AW485" i="3"/>
  <c r="AA485" i="3" s="1"/>
  <c r="U485" i="3"/>
  <c r="O485" i="3"/>
  <c r="M362" i="3"/>
  <c r="L362" i="3"/>
  <c r="I362" i="3"/>
  <c r="H362" i="3"/>
  <c r="AW361" i="3"/>
  <c r="AA361" i="3" s="1"/>
  <c r="U361" i="3"/>
  <c r="O361" i="3"/>
  <c r="M361" i="3"/>
  <c r="L361" i="3"/>
  <c r="I361" i="3"/>
  <c r="H361" i="3"/>
  <c r="AW360" i="3"/>
  <c r="AA360" i="3" s="1"/>
  <c r="U360" i="3"/>
  <c r="O360" i="3"/>
  <c r="M360" i="3"/>
  <c r="L360" i="3"/>
  <c r="I360" i="3"/>
  <c r="H360" i="3"/>
  <c r="AW359" i="3"/>
  <c r="AA359" i="3" s="1"/>
  <c r="U359" i="3"/>
  <c r="O359" i="3"/>
  <c r="M359" i="3"/>
  <c r="L359" i="3"/>
  <c r="I359" i="3"/>
  <c r="H359" i="3"/>
  <c r="AW358" i="3"/>
  <c r="AA358" i="3" s="1"/>
  <c r="U358" i="3"/>
  <c r="O358" i="3"/>
  <c r="M358" i="3"/>
  <c r="L358" i="3"/>
  <c r="I358" i="3"/>
  <c r="H358" i="3"/>
  <c r="AW357" i="3"/>
  <c r="AA357" i="3" s="1"/>
  <c r="U357" i="3"/>
  <c r="O357" i="3"/>
  <c r="M357" i="3"/>
  <c r="L357" i="3"/>
  <c r="I357" i="3"/>
  <c r="H357" i="3"/>
  <c r="AW356" i="3"/>
  <c r="AA356" i="3" s="1"/>
  <c r="U356" i="3"/>
  <c r="O356" i="3"/>
  <c r="M356" i="3"/>
  <c r="L356" i="3"/>
  <c r="I356" i="3"/>
  <c r="H356" i="3"/>
  <c r="AW355" i="3"/>
  <c r="AA355" i="3" s="1"/>
  <c r="U355" i="3"/>
  <c r="O355" i="3"/>
  <c r="M355" i="3"/>
  <c r="L355" i="3"/>
  <c r="I355" i="3"/>
  <c r="H355" i="3"/>
  <c r="AW354" i="3"/>
  <c r="AA354" i="3" s="1"/>
  <c r="U354" i="3"/>
  <c r="O354" i="3"/>
  <c r="M354" i="3"/>
  <c r="L354" i="3"/>
  <c r="I354" i="3"/>
  <c r="H354" i="3"/>
  <c r="AW353" i="3"/>
  <c r="AA353" i="3" s="1"/>
  <c r="U353" i="3"/>
  <c r="O353" i="3"/>
  <c r="M353" i="3"/>
  <c r="L353" i="3"/>
  <c r="I353" i="3"/>
  <c r="H353" i="3"/>
  <c r="AW352" i="3"/>
  <c r="AA352" i="3" s="1"/>
  <c r="U352" i="3"/>
  <c r="O352" i="3"/>
  <c r="M352" i="3"/>
  <c r="L352" i="3"/>
  <c r="I352" i="3"/>
  <c r="H352" i="3"/>
  <c r="AW351" i="3"/>
  <c r="AA351" i="3" s="1"/>
  <c r="U351" i="3"/>
  <c r="O351" i="3"/>
  <c r="M351" i="3"/>
  <c r="L351" i="3"/>
  <c r="I351" i="3"/>
  <c r="H351" i="3"/>
  <c r="AW350" i="3"/>
  <c r="AA350" i="3" s="1"/>
  <c r="U350" i="3"/>
  <c r="O350" i="3"/>
  <c r="M350" i="3"/>
  <c r="L350" i="3"/>
  <c r="I350" i="3"/>
  <c r="H350" i="3"/>
  <c r="AW349" i="3"/>
  <c r="AA349" i="3" s="1"/>
  <c r="U349" i="3"/>
  <c r="O349" i="3"/>
  <c r="M349" i="3"/>
  <c r="L349" i="3"/>
  <c r="I349" i="3"/>
  <c r="H349" i="3"/>
  <c r="AW348" i="3"/>
  <c r="AA348" i="3" s="1"/>
  <c r="U348" i="3"/>
  <c r="O348" i="3"/>
  <c r="M348" i="3"/>
  <c r="L348" i="3"/>
  <c r="I348" i="3"/>
  <c r="H348" i="3"/>
  <c r="AW347" i="3"/>
  <c r="AA347" i="3" s="1"/>
  <c r="U347" i="3"/>
  <c r="O347" i="3"/>
  <c r="M347" i="3"/>
  <c r="L347" i="3"/>
  <c r="I347" i="3"/>
  <c r="H347" i="3"/>
  <c r="AW346" i="3"/>
  <c r="AA346" i="3" s="1"/>
  <c r="U346" i="3"/>
  <c r="O346" i="3"/>
  <c r="M346" i="3"/>
  <c r="L346" i="3"/>
  <c r="I346" i="3"/>
  <c r="H346" i="3"/>
  <c r="AW345" i="3"/>
  <c r="AA345" i="3" s="1"/>
  <c r="U345" i="3"/>
  <c r="O345" i="3"/>
  <c r="M345" i="3"/>
  <c r="L345" i="3"/>
  <c r="I345" i="3"/>
  <c r="H345" i="3"/>
  <c r="AW344" i="3"/>
  <c r="AA344" i="3" s="1"/>
  <c r="U344" i="3"/>
  <c r="O344" i="3"/>
  <c r="M344" i="3"/>
  <c r="L344" i="3"/>
  <c r="I344" i="3"/>
  <c r="H344" i="3"/>
  <c r="AW343" i="3"/>
  <c r="AA343" i="3" s="1"/>
  <c r="U343" i="3"/>
  <c r="O343" i="3"/>
  <c r="M343" i="3"/>
  <c r="L343" i="3"/>
  <c r="I343" i="3"/>
  <c r="H343" i="3"/>
  <c r="AW342" i="3"/>
  <c r="AA342" i="3" s="1"/>
  <c r="U342" i="3"/>
  <c r="O342" i="3"/>
  <c r="M342" i="3"/>
  <c r="L342" i="3"/>
  <c r="I342" i="3"/>
  <c r="H342" i="3"/>
  <c r="AW341" i="3"/>
  <c r="AA341" i="3" s="1"/>
  <c r="U341" i="3"/>
  <c r="O341" i="3"/>
  <c r="M341" i="3"/>
  <c r="L341" i="3"/>
  <c r="I341" i="3"/>
  <c r="H341" i="3"/>
  <c r="AW340" i="3"/>
  <c r="AA340" i="3" s="1"/>
  <c r="U340" i="3"/>
  <c r="O340" i="3"/>
  <c r="M340" i="3"/>
  <c r="L340" i="3"/>
  <c r="I340" i="3"/>
  <c r="H340" i="3"/>
  <c r="AW339" i="3"/>
  <c r="AA339" i="3" s="1"/>
  <c r="U339" i="3"/>
  <c r="O339" i="3"/>
  <c r="M339" i="3"/>
  <c r="L339" i="3"/>
  <c r="I339" i="3"/>
  <c r="H339" i="3"/>
  <c r="AW338" i="3"/>
  <c r="AA338" i="3" s="1"/>
  <c r="U338" i="3"/>
  <c r="O338" i="3"/>
  <c r="M338" i="3"/>
  <c r="L338" i="3"/>
  <c r="I338" i="3"/>
  <c r="H338" i="3"/>
  <c r="AW337" i="3"/>
  <c r="AA337" i="3" s="1"/>
  <c r="U337" i="3"/>
  <c r="O337" i="3"/>
  <c r="M337" i="3"/>
  <c r="L337" i="3"/>
  <c r="I337" i="3"/>
  <c r="H337" i="3"/>
  <c r="AW336" i="3"/>
  <c r="AA336" i="3" s="1"/>
  <c r="U336" i="3"/>
  <c r="O336" i="3"/>
  <c r="M336" i="3"/>
  <c r="L336" i="3"/>
  <c r="I336" i="3"/>
  <c r="H336" i="3"/>
  <c r="AW335" i="3"/>
  <c r="AA335" i="3" s="1"/>
  <c r="U335" i="3"/>
  <c r="O335" i="3"/>
  <c r="M335" i="3"/>
  <c r="L287" i="3"/>
  <c r="I287" i="3"/>
  <c r="H287" i="3"/>
  <c r="AW286" i="3"/>
  <c r="AA286" i="3" s="1"/>
  <c r="U286" i="3"/>
  <c r="O286" i="3"/>
  <c r="M286" i="3"/>
  <c r="L286" i="3"/>
  <c r="I286" i="3"/>
  <c r="H286" i="3"/>
  <c r="AW285" i="3"/>
  <c r="AA285" i="3" s="1"/>
  <c r="U285" i="3"/>
  <c r="O285" i="3"/>
  <c r="M285" i="3"/>
  <c r="L285" i="3"/>
  <c r="I285" i="3"/>
  <c r="H285" i="3"/>
  <c r="AW284" i="3"/>
  <c r="AA284" i="3" s="1"/>
  <c r="U284" i="3"/>
  <c r="O284" i="3"/>
  <c r="M284" i="3"/>
  <c r="L284" i="3"/>
  <c r="I284" i="3"/>
  <c r="H284" i="3"/>
  <c r="AW283" i="3"/>
  <c r="AA283" i="3" s="1"/>
  <c r="U283" i="3"/>
  <c r="O283" i="3"/>
  <c r="M283" i="3"/>
  <c r="L283" i="3"/>
  <c r="I283" i="3"/>
  <c r="H283" i="3"/>
  <c r="AW282" i="3"/>
  <c r="AA282" i="3" s="1"/>
  <c r="U282" i="3"/>
  <c r="O282" i="3"/>
  <c r="M282" i="3"/>
  <c r="L282" i="3"/>
  <c r="I282" i="3"/>
  <c r="H282" i="3"/>
  <c r="AW281" i="3"/>
  <c r="AA281" i="3" s="1"/>
  <c r="U281" i="3"/>
  <c r="O281" i="3"/>
  <c r="M281" i="3"/>
  <c r="L281" i="3"/>
  <c r="I281" i="3"/>
  <c r="H281" i="3"/>
  <c r="AW280" i="3"/>
  <c r="AA280" i="3" s="1"/>
  <c r="U280" i="3"/>
  <c r="O280" i="3"/>
  <c r="M280" i="3"/>
  <c r="L280" i="3"/>
  <c r="I280" i="3"/>
  <c r="H280" i="3"/>
  <c r="AW279" i="3"/>
  <c r="AA279" i="3" s="1"/>
  <c r="U279" i="3"/>
  <c r="O279" i="3"/>
  <c r="M279" i="3"/>
  <c r="L279" i="3"/>
  <c r="I279" i="3"/>
  <c r="H279" i="3"/>
  <c r="AW278" i="3"/>
  <c r="AA278" i="3" s="1"/>
  <c r="U278" i="3"/>
  <c r="O278" i="3"/>
  <c r="M278" i="3"/>
  <c r="L278" i="3"/>
  <c r="I278" i="3"/>
  <c r="H278" i="3"/>
  <c r="AW277" i="3"/>
  <c r="AA277" i="3" s="1"/>
  <c r="U277" i="3"/>
  <c r="O277" i="3"/>
  <c r="M277" i="3"/>
  <c r="L277" i="3"/>
  <c r="I277" i="3"/>
  <c r="H277" i="3"/>
  <c r="AW276" i="3"/>
  <c r="AA276" i="3" s="1"/>
  <c r="U276" i="3"/>
  <c r="O276" i="3"/>
  <c r="M276" i="3"/>
  <c r="L276" i="3"/>
  <c r="I276" i="3"/>
  <c r="H276" i="3"/>
  <c r="AW275" i="3"/>
  <c r="AA275" i="3" s="1"/>
  <c r="U275" i="3"/>
  <c r="O275" i="3"/>
  <c r="M275" i="3"/>
  <c r="L275" i="3"/>
  <c r="I275" i="3"/>
  <c r="H275" i="3"/>
  <c r="AW274" i="3"/>
  <c r="AA274" i="3" s="1"/>
  <c r="U274" i="3"/>
  <c r="O274" i="3"/>
  <c r="M274" i="3"/>
  <c r="L274" i="3"/>
  <c r="I274" i="3"/>
  <c r="H274" i="3"/>
  <c r="AW273" i="3"/>
  <c r="AA273" i="3" s="1"/>
  <c r="U273" i="3"/>
  <c r="O273" i="3"/>
  <c r="M273" i="3"/>
  <c r="L273" i="3"/>
  <c r="I273" i="3"/>
  <c r="H273" i="3"/>
  <c r="AW272" i="3"/>
  <c r="AA272" i="3" s="1"/>
  <c r="U272" i="3"/>
  <c r="O272" i="3"/>
  <c r="M272" i="3"/>
  <c r="L272" i="3"/>
  <c r="I272" i="3"/>
  <c r="H272" i="3"/>
  <c r="AW271" i="3"/>
  <c r="AA271" i="3" s="1"/>
  <c r="U271" i="3"/>
  <c r="O271" i="3"/>
  <c r="M271" i="3"/>
  <c r="L271" i="3"/>
  <c r="I271" i="3"/>
  <c r="H271" i="3"/>
  <c r="AW270" i="3"/>
  <c r="AA270" i="3" s="1"/>
  <c r="U270" i="3"/>
  <c r="O270" i="3"/>
  <c r="M270" i="3"/>
  <c r="L270" i="3"/>
  <c r="I270" i="3"/>
  <c r="H270" i="3"/>
  <c r="AW269" i="3"/>
  <c r="AA269" i="3" s="1"/>
  <c r="U269" i="3"/>
  <c r="O269" i="3"/>
  <c r="M269" i="3"/>
  <c r="L269" i="3"/>
  <c r="I269" i="3"/>
  <c r="H269" i="3"/>
  <c r="AW268" i="3"/>
  <c r="AA268" i="3" s="1"/>
  <c r="U268" i="3"/>
  <c r="O268" i="3"/>
  <c r="M268" i="3"/>
  <c r="L268" i="3"/>
  <c r="I268" i="3"/>
  <c r="H268" i="3"/>
  <c r="AW267" i="3"/>
  <c r="AA267" i="3" s="1"/>
  <c r="U267" i="3"/>
  <c r="O267" i="3"/>
  <c r="M267" i="3"/>
  <c r="L267" i="3"/>
  <c r="I267" i="3"/>
  <c r="H267" i="3"/>
  <c r="AW266" i="3"/>
  <c r="AA266" i="3" s="1"/>
  <c r="U266" i="3"/>
  <c r="O266" i="3"/>
  <c r="M266" i="3"/>
  <c r="L266" i="3"/>
  <c r="I266" i="3"/>
  <c r="H266" i="3"/>
  <c r="AW265" i="3"/>
  <c r="AA265" i="3" s="1"/>
  <c r="U265" i="3"/>
  <c r="O265" i="3"/>
  <c r="M265" i="3"/>
  <c r="L265" i="3"/>
  <c r="I265" i="3"/>
  <c r="H265" i="3"/>
  <c r="AW264" i="3"/>
  <c r="AA264" i="3" s="1"/>
  <c r="U264" i="3"/>
  <c r="O264" i="3"/>
  <c r="M264" i="3"/>
  <c r="L264" i="3"/>
  <c r="I264" i="3"/>
  <c r="H264" i="3"/>
  <c r="AW263" i="3"/>
  <c r="AA263" i="3" s="1"/>
  <c r="U263" i="3"/>
  <c r="O263" i="3"/>
  <c r="M263" i="3"/>
  <c r="L263" i="3"/>
  <c r="I263" i="3"/>
  <c r="H263" i="3"/>
  <c r="AW262" i="3"/>
  <c r="AA262" i="3" s="1"/>
  <c r="U262" i="3"/>
  <c r="O262" i="3"/>
  <c r="M262" i="3"/>
  <c r="L262" i="3"/>
  <c r="I262" i="3"/>
  <c r="H262" i="3"/>
  <c r="AW261" i="3"/>
  <c r="AA261" i="3" s="1"/>
  <c r="U261" i="3"/>
  <c r="O261" i="3"/>
  <c r="M261" i="3"/>
  <c r="L261" i="3"/>
  <c r="I261" i="3"/>
  <c r="H261" i="3"/>
  <c r="AW260" i="3"/>
  <c r="AA260" i="3" s="1"/>
  <c r="U260" i="3"/>
  <c r="O260" i="3"/>
  <c r="M260" i="3"/>
  <c r="L260" i="3"/>
  <c r="I260" i="3"/>
  <c r="H260" i="3"/>
  <c r="AW259" i="3"/>
  <c r="AA259" i="3" s="1"/>
  <c r="L212" i="3"/>
  <c r="I212" i="3"/>
  <c r="H212" i="3"/>
  <c r="AW211" i="3"/>
  <c r="AA211" i="3" s="1"/>
  <c r="U211" i="3"/>
  <c r="O211" i="3"/>
  <c r="M211" i="3"/>
  <c r="L211" i="3"/>
  <c r="I211" i="3"/>
  <c r="H211" i="3"/>
  <c r="AW210" i="3"/>
  <c r="AA210" i="3" s="1"/>
  <c r="U210" i="3"/>
  <c r="O210" i="3"/>
  <c r="M210" i="3"/>
  <c r="L210" i="3"/>
  <c r="I210" i="3"/>
  <c r="H210" i="3"/>
  <c r="AW209" i="3"/>
  <c r="AA209" i="3" s="1"/>
  <c r="U209" i="3"/>
  <c r="O209" i="3"/>
  <c r="M209" i="3"/>
  <c r="L209" i="3"/>
  <c r="I209" i="3"/>
  <c r="H209" i="3"/>
  <c r="AW208" i="3"/>
  <c r="AA208" i="3" s="1"/>
  <c r="U208" i="3"/>
  <c r="O208" i="3"/>
  <c r="M208" i="3"/>
  <c r="L208" i="3"/>
  <c r="I208" i="3"/>
  <c r="H208" i="3"/>
  <c r="AW207" i="3"/>
  <c r="AA207" i="3" s="1"/>
  <c r="U207" i="3"/>
  <c r="O207" i="3"/>
  <c r="M207" i="3"/>
  <c r="L207" i="3"/>
  <c r="I207" i="3"/>
  <c r="H207" i="3"/>
  <c r="AW206" i="3"/>
  <c r="AA206" i="3" s="1"/>
  <c r="U206" i="3"/>
  <c r="O206" i="3"/>
  <c r="M206" i="3"/>
  <c r="L206" i="3"/>
  <c r="I206" i="3"/>
  <c r="H206" i="3"/>
  <c r="AW205" i="3"/>
  <c r="AA205" i="3" s="1"/>
  <c r="U205" i="3"/>
  <c r="O205" i="3"/>
  <c r="M205" i="3"/>
  <c r="L205" i="3"/>
  <c r="I205" i="3"/>
  <c r="H205" i="3"/>
  <c r="AW204" i="3"/>
  <c r="AA204" i="3" s="1"/>
  <c r="U204" i="3"/>
  <c r="O204" i="3"/>
  <c r="M204" i="3"/>
  <c r="L204" i="3"/>
  <c r="I204" i="3"/>
  <c r="H204" i="3"/>
  <c r="AW203" i="3"/>
  <c r="AA203" i="3" s="1"/>
  <c r="U203" i="3"/>
  <c r="O203" i="3"/>
  <c r="M203" i="3"/>
  <c r="L203" i="3"/>
  <c r="I203" i="3"/>
  <c r="H203" i="3"/>
  <c r="AW202" i="3"/>
  <c r="AA202" i="3" s="1"/>
  <c r="U202" i="3"/>
  <c r="O202" i="3"/>
  <c r="M202" i="3"/>
  <c r="L202" i="3"/>
  <c r="I202" i="3"/>
  <c r="H202" i="3"/>
  <c r="AW201" i="3"/>
  <c r="AA201" i="3" s="1"/>
  <c r="U201" i="3"/>
  <c r="O201" i="3"/>
  <c r="M201" i="3"/>
  <c r="L201" i="3"/>
  <c r="I201" i="3"/>
  <c r="H201" i="3"/>
  <c r="AW200" i="3"/>
  <c r="AA200" i="3" s="1"/>
  <c r="U200" i="3"/>
  <c r="O200" i="3"/>
  <c r="M200" i="3"/>
  <c r="L200" i="3"/>
  <c r="I200" i="3"/>
  <c r="H200" i="3"/>
  <c r="AW199" i="3"/>
  <c r="AA199" i="3" s="1"/>
  <c r="U199" i="3"/>
  <c r="O199" i="3"/>
  <c r="M199" i="3"/>
  <c r="L199" i="3"/>
  <c r="I199" i="3"/>
  <c r="H199" i="3"/>
  <c r="AW198" i="3"/>
  <c r="AA198" i="3" s="1"/>
  <c r="U198" i="3"/>
  <c r="O198" i="3"/>
  <c r="M198" i="3"/>
  <c r="L198" i="3"/>
  <c r="I198" i="3"/>
  <c r="H198" i="3"/>
  <c r="AW197" i="3"/>
  <c r="AA197" i="3" s="1"/>
  <c r="U197" i="3"/>
  <c r="O197" i="3"/>
  <c r="M197" i="3"/>
  <c r="L197" i="3"/>
  <c r="I197" i="3"/>
  <c r="H197" i="3"/>
  <c r="AW196" i="3"/>
  <c r="AA196" i="3" s="1"/>
  <c r="U196" i="3"/>
  <c r="O196" i="3"/>
  <c r="M196" i="3"/>
  <c r="L196" i="3"/>
  <c r="I196" i="3"/>
  <c r="H196" i="3"/>
  <c r="AW195" i="3"/>
  <c r="AA195" i="3" s="1"/>
  <c r="U195" i="3"/>
  <c r="O195" i="3"/>
  <c r="M195" i="3"/>
  <c r="L195" i="3"/>
  <c r="I195" i="3"/>
  <c r="H195" i="3"/>
  <c r="AW194" i="3"/>
  <c r="AA194" i="3" s="1"/>
  <c r="U194" i="3"/>
  <c r="O194" i="3"/>
  <c r="M194" i="3"/>
  <c r="L194" i="3"/>
  <c r="I194" i="3"/>
  <c r="H194" i="3"/>
  <c r="AW193" i="3"/>
  <c r="AA193" i="3" s="1"/>
  <c r="U193" i="3"/>
  <c r="O193" i="3"/>
  <c r="M193" i="3"/>
  <c r="L193" i="3"/>
  <c r="I193" i="3"/>
  <c r="H193" i="3"/>
  <c r="AW192" i="3"/>
  <c r="AA192" i="3" s="1"/>
  <c r="U192" i="3"/>
  <c r="O192" i="3"/>
  <c r="M192" i="3"/>
  <c r="L192" i="3"/>
  <c r="I192" i="3"/>
  <c r="H192" i="3"/>
  <c r="AW191" i="3"/>
  <c r="AA191" i="3" s="1"/>
  <c r="U191" i="3"/>
  <c r="O191" i="3"/>
  <c r="M191" i="3"/>
  <c r="L191" i="3"/>
  <c r="I191" i="3"/>
  <c r="H191" i="3"/>
  <c r="AW190" i="3"/>
  <c r="AA190" i="3" s="1"/>
  <c r="U190" i="3"/>
  <c r="O190" i="3"/>
  <c r="M190" i="3"/>
  <c r="L190" i="3"/>
  <c r="I190" i="3"/>
  <c r="H190" i="3"/>
  <c r="AW189" i="3"/>
  <c r="AA189" i="3" s="1"/>
  <c r="U189" i="3"/>
  <c r="O189" i="3"/>
  <c r="M189" i="3"/>
  <c r="L189" i="3"/>
  <c r="I189" i="3"/>
  <c r="H189" i="3"/>
  <c r="AW188" i="3"/>
  <c r="AA188" i="3" s="1"/>
  <c r="AW601" i="3"/>
  <c r="AA601" i="3" s="1"/>
  <c r="U601" i="3"/>
  <c r="O601" i="3"/>
  <c r="U188" i="3"/>
  <c r="O188" i="3"/>
  <c r="M188" i="3"/>
  <c r="L188" i="3"/>
  <c r="I188" i="3"/>
  <c r="H188" i="3"/>
  <c r="AW187" i="3"/>
  <c r="AA187" i="3" s="1"/>
  <c r="U187" i="3"/>
  <c r="O187" i="3"/>
  <c r="M187" i="3"/>
  <c r="L187" i="3"/>
  <c r="U137" i="3"/>
  <c r="O137" i="3"/>
  <c r="M137" i="3"/>
  <c r="L137" i="3"/>
  <c r="I137" i="3"/>
  <c r="H137" i="3"/>
  <c r="AW136" i="3"/>
  <c r="AA136" i="3" s="1"/>
  <c r="U136" i="3"/>
  <c r="O136" i="3"/>
  <c r="M136" i="3"/>
  <c r="L136" i="3"/>
  <c r="I136" i="3"/>
  <c r="H136" i="3"/>
  <c r="AW135" i="3"/>
  <c r="AA135" i="3" s="1"/>
  <c r="U135" i="3"/>
  <c r="O135" i="3"/>
  <c r="M135" i="3"/>
  <c r="L135" i="3"/>
  <c r="I135" i="3"/>
  <c r="H135" i="3"/>
  <c r="AW134" i="3"/>
  <c r="AA134" i="3" s="1"/>
  <c r="U134" i="3"/>
  <c r="O134" i="3"/>
  <c r="M134" i="3"/>
  <c r="L134" i="3"/>
  <c r="I134" i="3"/>
  <c r="H134" i="3"/>
  <c r="AW133" i="3"/>
  <c r="AA133" i="3" s="1"/>
  <c r="U133" i="3"/>
  <c r="O133" i="3"/>
  <c r="M133" i="3"/>
  <c r="L133" i="3"/>
  <c r="I133" i="3"/>
  <c r="H133" i="3"/>
  <c r="AW132" i="3"/>
  <c r="AA132" i="3" s="1"/>
  <c r="U132" i="3"/>
  <c r="O132" i="3"/>
  <c r="M132" i="3"/>
  <c r="L132" i="3"/>
  <c r="I132" i="3"/>
  <c r="H132" i="3"/>
  <c r="AW131" i="3"/>
  <c r="AA131" i="3" s="1"/>
  <c r="U131" i="3"/>
  <c r="O131" i="3"/>
  <c r="M131" i="3"/>
  <c r="L131" i="3"/>
  <c r="I131" i="3"/>
  <c r="H131" i="3"/>
  <c r="AW130" i="3"/>
  <c r="AA130" i="3" s="1"/>
  <c r="U130" i="3"/>
  <c r="O130" i="3"/>
  <c r="M130" i="3"/>
  <c r="L130" i="3"/>
  <c r="I130" i="3"/>
  <c r="H130" i="3"/>
  <c r="AW129" i="3"/>
  <c r="AA129" i="3" s="1"/>
  <c r="U129" i="3"/>
  <c r="O129" i="3"/>
  <c r="M129" i="3"/>
  <c r="L129" i="3"/>
  <c r="I129" i="3"/>
  <c r="H129" i="3"/>
  <c r="AW128" i="3"/>
  <c r="AA128" i="3" s="1"/>
  <c r="U128" i="3"/>
  <c r="O128" i="3"/>
  <c r="M128" i="3"/>
  <c r="L128" i="3"/>
  <c r="I128" i="3"/>
  <c r="H128" i="3"/>
  <c r="AW127" i="3"/>
  <c r="AA127" i="3" s="1"/>
  <c r="U127" i="3"/>
  <c r="O127" i="3"/>
  <c r="M127" i="3"/>
  <c r="L127" i="3"/>
  <c r="I127" i="3"/>
  <c r="H127" i="3"/>
  <c r="AW126" i="3"/>
  <c r="AA126" i="3" s="1"/>
  <c r="U126" i="3"/>
  <c r="O126" i="3"/>
  <c r="M126" i="3"/>
  <c r="L126" i="3"/>
  <c r="I126" i="3"/>
  <c r="H126" i="3"/>
  <c r="AW125" i="3"/>
  <c r="AA125" i="3" s="1"/>
  <c r="U125" i="3"/>
  <c r="O125" i="3"/>
  <c r="M125" i="3"/>
  <c r="L125" i="3"/>
  <c r="I125" i="3"/>
  <c r="H125" i="3"/>
  <c r="AW124" i="3"/>
  <c r="AA124" i="3" s="1"/>
  <c r="U124" i="3"/>
  <c r="O124" i="3"/>
  <c r="M124" i="3"/>
  <c r="L124" i="3"/>
  <c r="I124" i="3"/>
  <c r="H124" i="3"/>
  <c r="AW123" i="3"/>
  <c r="AA123" i="3" s="1"/>
  <c r="U123" i="3"/>
  <c r="O123" i="3"/>
  <c r="M123" i="3"/>
  <c r="L123" i="3"/>
  <c r="I123" i="3"/>
  <c r="H123" i="3"/>
  <c r="AW122" i="3"/>
  <c r="AA122" i="3" s="1"/>
  <c r="U122" i="3"/>
  <c r="O122" i="3"/>
  <c r="M122" i="3"/>
  <c r="L122" i="3"/>
  <c r="I122" i="3"/>
  <c r="H122" i="3"/>
  <c r="AW121" i="3"/>
  <c r="AA121" i="3" s="1"/>
  <c r="U121" i="3"/>
  <c r="O121" i="3"/>
  <c r="M121" i="3"/>
  <c r="L121" i="3"/>
  <c r="I121" i="3"/>
  <c r="H121" i="3"/>
  <c r="AW120" i="3"/>
  <c r="AA120" i="3" s="1"/>
  <c r="U120" i="3"/>
  <c r="O120" i="3"/>
  <c r="M120" i="3"/>
  <c r="L120" i="3"/>
  <c r="I120" i="3"/>
  <c r="H120" i="3"/>
  <c r="AW119" i="3"/>
  <c r="AA119" i="3" s="1"/>
  <c r="U119" i="3"/>
  <c r="O119" i="3"/>
  <c r="M119" i="3"/>
  <c r="L119" i="3"/>
  <c r="I119" i="3"/>
  <c r="H119" i="3"/>
  <c r="AW118" i="3"/>
  <c r="AA118" i="3" s="1"/>
  <c r="U118" i="3"/>
  <c r="O118" i="3"/>
  <c r="M118" i="3"/>
  <c r="L118" i="3"/>
  <c r="I118" i="3"/>
  <c r="H118" i="3"/>
  <c r="AW117" i="3"/>
  <c r="AA117" i="3" s="1"/>
  <c r="U117" i="3"/>
  <c r="O117" i="3"/>
  <c r="M117" i="3"/>
  <c r="L117" i="3"/>
  <c r="I117" i="3"/>
  <c r="H117" i="3"/>
  <c r="AW116" i="3"/>
  <c r="AA116" i="3" s="1"/>
  <c r="U116" i="3"/>
  <c r="O116" i="3"/>
  <c r="M116" i="3"/>
  <c r="L116" i="3"/>
  <c r="I116" i="3"/>
  <c r="H116" i="3"/>
  <c r="AW115" i="3"/>
  <c r="AA115" i="3" s="1"/>
  <c r="U115" i="3"/>
  <c r="O115" i="3"/>
  <c r="M115" i="3"/>
  <c r="L115" i="3"/>
  <c r="I115" i="3"/>
  <c r="H115" i="3"/>
  <c r="AW114" i="3"/>
  <c r="AA114" i="3" s="1"/>
  <c r="U114" i="3"/>
  <c r="O114" i="3"/>
  <c r="M114" i="3"/>
  <c r="L114" i="3"/>
  <c r="I114" i="3"/>
  <c r="H114" i="3"/>
  <c r="AW113" i="3"/>
  <c r="AA113" i="3" s="1"/>
  <c r="U113" i="3"/>
  <c r="O113" i="3"/>
  <c r="M113" i="3"/>
  <c r="L113" i="3"/>
  <c r="I113" i="3"/>
  <c r="H113" i="3"/>
  <c r="AW112" i="3"/>
  <c r="AA112" i="3" s="1"/>
  <c r="U112" i="3"/>
  <c r="O112" i="3"/>
  <c r="M112" i="3"/>
  <c r="L112" i="3"/>
  <c r="I112" i="3"/>
  <c r="H112" i="3"/>
  <c r="AW111" i="3"/>
  <c r="AA111" i="3" s="1"/>
  <c r="U111" i="3"/>
  <c r="O111" i="3"/>
  <c r="M111" i="3"/>
  <c r="L111" i="3"/>
  <c r="I111" i="3"/>
  <c r="H111" i="3"/>
  <c r="AW110" i="3"/>
  <c r="AA110" i="3" s="1"/>
  <c r="O62" i="3"/>
  <c r="M62" i="3"/>
  <c r="L62" i="3"/>
  <c r="I62" i="3"/>
  <c r="H62" i="3"/>
  <c r="AW61" i="3"/>
  <c r="AA61" i="3" s="1"/>
  <c r="U61" i="3"/>
  <c r="O61" i="3"/>
  <c r="M61" i="3"/>
  <c r="L61" i="3"/>
  <c r="I61" i="3"/>
  <c r="H61" i="3"/>
  <c r="AW60" i="3"/>
  <c r="AA60" i="3" s="1"/>
  <c r="U60" i="3"/>
  <c r="O60" i="3"/>
  <c r="M60" i="3"/>
  <c r="L60" i="3"/>
  <c r="I60" i="3"/>
  <c r="H60" i="3"/>
  <c r="AW59" i="3"/>
  <c r="AA59" i="3" s="1"/>
  <c r="U59" i="3"/>
  <c r="O59" i="3"/>
  <c r="M59" i="3"/>
  <c r="L59" i="3"/>
  <c r="I59" i="3"/>
  <c r="H59" i="3"/>
  <c r="AW58" i="3"/>
  <c r="AA58" i="3" s="1"/>
  <c r="U58" i="3"/>
  <c r="O58" i="3"/>
  <c r="M58" i="3"/>
  <c r="L58" i="3"/>
  <c r="I58" i="3"/>
  <c r="H58" i="3"/>
  <c r="AW57" i="3"/>
  <c r="AA57" i="3" s="1"/>
  <c r="U57" i="3"/>
  <c r="O57" i="3"/>
  <c r="M57" i="3"/>
  <c r="L57" i="3"/>
  <c r="I57" i="3"/>
  <c r="H57" i="3"/>
  <c r="AW56" i="3"/>
  <c r="AA56" i="3" s="1"/>
  <c r="U56" i="3"/>
  <c r="O56" i="3"/>
  <c r="M56" i="3"/>
  <c r="L56" i="3"/>
  <c r="I56" i="3"/>
  <c r="H56" i="3"/>
  <c r="AW55" i="3"/>
  <c r="AA55" i="3" s="1"/>
  <c r="U55" i="3"/>
  <c r="O55" i="3"/>
  <c r="M55" i="3"/>
  <c r="L55" i="3"/>
  <c r="I55" i="3"/>
  <c r="H55" i="3"/>
  <c r="AW54" i="3"/>
  <c r="AA54" i="3" s="1"/>
  <c r="U54" i="3"/>
  <c r="O54" i="3"/>
  <c r="M54" i="3"/>
  <c r="L54" i="3"/>
  <c r="I54" i="3"/>
  <c r="H54" i="3"/>
  <c r="AW53" i="3"/>
  <c r="AA53" i="3" s="1"/>
  <c r="U53" i="3"/>
  <c r="O53" i="3"/>
  <c r="M53" i="3"/>
  <c r="L53" i="3"/>
  <c r="I53" i="3"/>
  <c r="H53" i="3"/>
  <c r="AW52" i="3"/>
  <c r="AA52" i="3" s="1"/>
  <c r="U52" i="3"/>
  <c r="O52" i="3"/>
  <c r="M52" i="3"/>
  <c r="L52" i="3"/>
  <c r="I52" i="3"/>
  <c r="H52" i="3"/>
  <c r="AW51" i="3"/>
  <c r="AA51" i="3" s="1"/>
  <c r="U51" i="3"/>
  <c r="O51" i="3"/>
  <c r="M51" i="3"/>
  <c r="L51" i="3"/>
  <c r="I51" i="3"/>
  <c r="H51" i="3"/>
  <c r="AW50" i="3"/>
  <c r="AA50" i="3" s="1"/>
  <c r="U50" i="3"/>
  <c r="O50" i="3"/>
  <c r="M50" i="3"/>
  <c r="L50" i="3"/>
  <c r="I50" i="3"/>
  <c r="H50" i="3"/>
  <c r="AW49" i="3"/>
  <c r="AA49" i="3" s="1"/>
  <c r="U49" i="3"/>
  <c r="O49" i="3"/>
  <c r="M49" i="3"/>
  <c r="L49" i="3"/>
  <c r="I49" i="3"/>
  <c r="H49" i="3"/>
  <c r="AW48" i="3"/>
  <c r="AA48" i="3" s="1"/>
  <c r="U48" i="3"/>
  <c r="O48" i="3"/>
  <c r="M48" i="3"/>
  <c r="L48" i="3"/>
  <c r="I48" i="3"/>
  <c r="H48" i="3"/>
  <c r="AW47" i="3"/>
  <c r="AA47" i="3" s="1"/>
  <c r="U47" i="3"/>
  <c r="O47" i="3"/>
  <c r="M47" i="3"/>
  <c r="L47" i="3"/>
  <c r="I47" i="3"/>
  <c r="H47" i="3"/>
  <c r="AW46" i="3"/>
  <c r="AA46" i="3" s="1"/>
  <c r="U46" i="3"/>
  <c r="O46" i="3"/>
  <c r="M46" i="3"/>
  <c r="L46" i="3"/>
  <c r="I46" i="3"/>
  <c r="H46" i="3"/>
  <c r="AW45" i="3"/>
  <c r="AA45" i="3" s="1"/>
  <c r="U45" i="3"/>
  <c r="O45" i="3"/>
  <c r="M45" i="3"/>
  <c r="L45" i="3"/>
  <c r="I45" i="3"/>
  <c r="H45" i="3"/>
  <c r="AW44" i="3"/>
  <c r="AA44" i="3" s="1"/>
  <c r="U44" i="3"/>
  <c r="O44" i="3"/>
  <c r="M44" i="3"/>
  <c r="L44" i="3"/>
  <c r="I44" i="3"/>
  <c r="H44" i="3"/>
  <c r="AW43" i="3"/>
  <c r="AA43" i="3" s="1"/>
  <c r="U43" i="3"/>
  <c r="O43" i="3"/>
  <c r="M43" i="3"/>
  <c r="L43" i="3"/>
  <c r="I43" i="3"/>
  <c r="H43" i="3"/>
  <c r="AW42" i="3"/>
  <c r="AA42" i="3" s="1"/>
  <c r="U42" i="3"/>
  <c r="O42" i="3"/>
  <c r="M42" i="3"/>
  <c r="L42" i="3"/>
  <c r="I42" i="3"/>
  <c r="H42" i="3"/>
  <c r="AW41" i="3"/>
  <c r="AA41" i="3" s="1"/>
  <c r="U41" i="3"/>
  <c r="O41" i="3"/>
  <c r="M41" i="3"/>
  <c r="L41" i="3"/>
  <c r="I41" i="3"/>
  <c r="H41" i="3"/>
  <c r="AW40" i="3"/>
  <c r="AA40" i="3" s="1"/>
  <c r="U40" i="3"/>
  <c r="O40" i="3"/>
  <c r="M40" i="3"/>
  <c r="L40" i="3"/>
  <c r="I40" i="3"/>
  <c r="H40" i="3"/>
  <c r="AW39" i="3"/>
  <c r="AA39" i="3" s="1"/>
  <c r="U39" i="3"/>
  <c r="O39" i="3"/>
  <c r="M39" i="3"/>
  <c r="AA5" i="3" l="1"/>
  <c r="L5" i="3"/>
  <c r="M5" i="3"/>
  <c r="AA7" i="3"/>
  <c r="M7" i="3"/>
  <c r="AA6" i="3"/>
  <c r="M6" i="3"/>
  <c r="M2" i="3"/>
  <c r="L2" i="3"/>
  <c r="AA2" i="3"/>
  <c r="L9" i="3"/>
  <c r="M9" i="3"/>
  <c r="AA9" i="3"/>
  <c r="AA10" i="3"/>
  <c r="M10" i="3"/>
  <c r="L10" i="3"/>
</calcChain>
</file>

<file path=xl/sharedStrings.xml><?xml version="1.0" encoding="utf-8"?>
<sst xmlns="http://schemas.openxmlformats.org/spreadsheetml/2006/main" count="119" uniqueCount="107">
  <si>
    <t>試験日</t>
  </si>
  <si>
    <t>様式版</t>
  </si>
  <si>
    <t>SBN-2027-02-v0.3</t>
  </si>
  <si>
    <t>集計</t>
  </si>
  <si>
    <t>教室名</t>
  </si>
  <si>
    <t>入力人数（行数）</t>
  </si>
  <si>
    <t>電話番号</t>
  </si>
  <si>
    <t>担当者名</t>
  </si>
  <si>
    <t>受験件数</t>
  </si>
  <si>
    <t>住所</t>
  </si>
  <si>
    <t>郵便番号</t>
  </si>
  <si>
    <t>受験料合計</t>
  </si>
  <si>
    <t>メール</t>
  </si>
  <si>
    <t>確認が必要な行</t>
  </si>
  <si>
    <t>振込予定日</t>
  </si>
  <si>
    <t>任意・西暦/月/日</t>
  </si>
  <si>
    <t>姓と名の間は半角スペース。生年月日は西暦/月/日で入力。珠算・暗算は1～3級のみ。</t>
  </si>
  <si>
    <t>黄色だけ入力。所属は教室名から自動表示。初受験「はい」の対象種目は備考へ。</t>
  </si>
  <si>
    <t>No.</t>
  </si>
  <si>
    <t>氏名</t>
  </si>
  <si>
    <t>フリガナ</t>
  </si>
  <si>
    <t>生年月日
西暦/月/日</t>
  </si>
  <si>
    <t>所属（自動）</t>
  </si>
  <si>
    <t>珠算級</t>
  </si>
  <si>
    <t>暗算級</t>
  </si>
  <si>
    <t>段位認定</t>
  </si>
  <si>
    <t>初受験</t>
  </si>
  <si>
    <t>備考</t>
  </si>
  <si>
    <t>受験料</t>
  </si>
  <si>
    <t>入力確認</t>
  </si>
  <si>
    <t>記入例</t>
  </si>
  <si>
    <t>○○ ○○
（間に半角スペース）</t>
  </si>
  <si>
    <t>マルマル マルマル</t>
  </si>
  <si>
    <t>2015/01/01</t>
  </si>
  <si>
    <t>未確認</t>
  </si>
  <si>
    <t>併願も1人1行</t>
  </si>
  <si>
    <t>13行目から入力</t>
  </si>
  <si>
    <t>通常教室用 料金と入力の説明</t>
  </si>
  <si>
    <t>黄色だけ入力。上部を折りたたむと見出しと記入例だけが固定されます。</t>
  </si>
  <si>
    <t>珠算・暗算</t>
  </si>
  <si>
    <t>珠算のみ</t>
  </si>
  <si>
    <t>暗算のみ</t>
  </si>
  <si>
    <t>通常教室では珠算・暗算とも1～3級です。下級の特別許可分は担当者側の別様式で扱います。</t>
  </si>
  <si>
    <t>氏名は原表記を変えず、姓と名の間だけ半角スペースを1つ入れてください。</t>
  </si>
  <si>
    <t>生年月日は西暦/月/日で入力します。入力欄では文字列として検査し、名簿出力では日付に変換します。</t>
  </si>
  <si>
    <t>受験しない種目は空欄。初受験「はい」の対象種目は備考に記載してください。</t>
  </si>
  <si>
    <t>同じ氏名・生年月日・種目・級の重複は確認表示します。自動で削除しません。</t>
  </si>
  <si>
    <t>記入例の12行目は人数・料金・名簿出力のすべてから除外しています。</t>
  </si>
  <si>
    <t>所属は教室名から自動表示します。教室コードの入力は不要です。</t>
  </si>
  <si>
    <t>振込予定日は任意です。入金済みの判定は担当者が通帳と照合します。</t>
  </si>
  <si>
    <t>教室申込に個人Web手数料550円は加算しません。通常の合格シールを別途課金しません。</t>
  </si>
  <si>
    <t>入力欄は200行。訂正時は同じファイルを更新し、最終版を担当者が確認します。</t>
  </si>
  <si>
    <t>出典 https://www.takarazuka-cci.or.jp/exam/soroban 2026年度要項と担当者の今回確定事項</t>
  </si>
  <si>
    <t>id</t>
  </si>
  <si>
    <t>施行日(和)</t>
  </si>
  <si>
    <t>施行日(西)</t>
  </si>
  <si>
    <t>施行曜日</t>
  </si>
  <si>
    <t>W</t>
  </si>
  <si>
    <t>回</t>
  </si>
  <si>
    <t>種類</t>
  </si>
  <si>
    <t>級</t>
  </si>
  <si>
    <t>受験番号</t>
  </si>
  <si>
    <t>中学生以上</t>
  </si>
  <si>
    <t>かな</t>
  </si>
  <si>
    <t>生年月日(和)</t>
  </si>
  <si>
    <t>生年月日西</t>
  </si>
  <si>
    <t>電話</t>
  </si>
  <si>
    <t>身分証</t>
  </si>
  <si>
    <t>所属1</t>
  </si>
  <si>
    <t>所属２</t>
  </si>
  <si>
    <t>開始時間</t>
  </si>
  <si>
    <t>受験会場住所</t>
  </si>
  <si>
    <t>試験会場</t>
  </si>
  <si>
    <t>合格証書郵送</t>
  </si>
  <si>
    <t>コメント</t>
  </si>
  <si>
    <t>中学以上</t>
  </si>
  <si>
    <t>合格証書番号</t>
  </si>
  <si>
    <t>結果</t>
  </si>
  <si>
    <t>合計</t>
  </si>
  <si>
    <t>みとり</t>
  </si>
  <si>
    <t>かけ</t>
  </si>
  <si>
    <t>わり</t>
  </si>
  <si>
    <t>みとり暗算</t>
  </si>
  <si>
    <t>かけ暗算</t>
  </si>
  <si>
    <t>わり暗算</t>
  </si>
  <si>
    <t>中学生判定基準日→翌年4/1</t>
  </si>
  <si>
    <t>2027-04-01T00:00:00</t>
  </si>
  <si>
    <t>段位認定　珠算暗算、珠算のみ、暗算のみ</t>
  </si>
  <si>
    <t>当日速報</t>
  </si>
  <si>
    <t>正式団体名（団体受験料一覧用）</t>
  </si>
  <si>
    <t>担当者用 一括コピー</t>
  </si>
  <si>
    <t>教室申込の入力確認が0件になったら下の範囲をコピー。</t>
  </si>
  <si>
    <t>取込対応名簿の「申込取込」へ値の貼り付けを1回行います。</t>
  </si>
  <si>
    <t>受験者一覧へ直接貼り付けないでください。</t>
  </si>
  <si>
    <t>記入例は出力しません。段位は内部番号へ変換済みです。</t>
  </si>
  <si>
    <t>訂正版は同じ教室の旧データと置き換えます。</t>
  </si>
  <si>
    <t>コピー範囲</t>
  </si>
  <si>
    <t>候補番号</t>
  </si>
  <si>
    <t>元行</t>
  </si>
  <si>
    <t>内部番号</t>
  </si>
  <si>
    <t>通番</t>
  </si>
  <si>
    <t>所属</t>
  </si>
  <si>
    <t>生年月日型変換</t>
  </si>
  <si>
    <t>珠算検定 教室申込書</t>
    <phoneticPr fontId="7"/>
  </si>
  <si>
    <t>珠算・暗算</t>
    <rPh sb="0" eb="2">
      <t>シュザン</t>
    </rPh>
    <rPh sb="3" eb="5">
      <t>アンザン</t>
    </rPh>
    <phoneticPr fontId="7"/>
  </si>
  <si>
    <t>6,500円（例）</t>
    <phoneticPr fontId="7"/>
  </si>
  <si>
    <t>教室情報を入力後、「折り畳みボタン」で受験者入力欄を広く使えます。</t>
    <rPh sb="10" eb="11">
      <t>オ</t>
    </rPh>
    <rPh sb="12" eb="13">
      <t>タタ</t>
    </rPh>
    <rPh sb="22" eb="24">
      <t>ニュウリョク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</si>
</sst>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#,##0&quot;円&quot;"/>
  </numFmts>
  <fonts count="10">
    <font>
      <sz val="11"/>
      <name val="Carlito"/>
    </font>
    <font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1"/>
      <color rgb="FFFFFFFF"/>
      <name val="BIZ UDPゴシック"/>
      <family val="3"/>
      <charset val="128"/>
    </font>
    <font>
      <sz val="10"/>
      <color rgb="FF495B70"/>
      <name val="BIZ UDPゴシック"/>
      <family val="3"/>
      <charset val="128"/>
    </font>
    <font>
      <sz val="11"/>
      <color rgb="FF666666"/>
      <name val="BIZ UDPゴシック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03864"/>
      </patternFill>
    </fill>
    <fill>
      <patternFill patternType="solid">
        <fgColor rgb="FFE7EDF5"/>
      </patternFill>
    </fill>
    <fill>
      <patternFill patternType="solid">
        <fgColor rgb="FFFFF9E6"/>
      </patternFill>
    </fill>
    <fill>
      <patternFill patternType="solid">
        <fgColor rgb="FFF2F4F7"/>
      </patternFill>
    </fill>
    <fill>
      <patternFill patternType="solid">
        <fgColor rgb="FFE2EFDA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5C8DE"/>
      </left>
      <right style="thin">
        <color rgb="FFB5C8DE"/>
      </right>
      <top style="thin">
        <color rgb="FFB5C8DE"/>
      </top>
      <bottom style="thin">
        <color rgb="FFB5C8DE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1" applyFont="1"/>
    <xf numFmtId="0" fontId="2" fillId="0" borderId="0" xfId="1" applyFont="1"/>
    <xf numFmtId="177" fontId="1" fillId="0" borderId="0" xfId="1" applyNumberFormat="1" applyFont="1"/>
    <xf numFmtId="0" fontId="3" fillId="3" borderId="0" xfId="1" applyFont="1" applyFill="1"/>
    <xf numFmtId="0" fontId="3" fillId="3" borderId="0" xfId="1" applyFont="1" applyFill="1" applyAlignment="1">
      <alignment wrapText="1"/>
    </xf>
    <xf numFmtId="0" fontId="3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vertical="center" wrapText="1"/>
    </xf>
    <xf numFmtId="0" fontId="1" fillId="0" borderId="1" xfId="1" applyFont="1" applyBorder="1" applyAlignment="1">
      <alignment vertical="center"/>
    </xf>
    <xf numFmtId="0" fontId="5" fillId="6" borderId="1" xfId="1" applyFont="1" applyFill="1" applyBorder="1" applyAlignment="1">
      <alignment vertical="center" wrapText="1"/>
    </xf>
    <xf numFmtId="177" fontId="1" fillId="0" borderId="1" xfId="1" applyNumberFormat="1" applyFont="1" applyBorder="1" applyAlignment="1">
      <alignment vertical="center"/>
    </xf>
    <xf numFmtId="0" fontId="1" fillId="7" borderId="0" xfId="1" applyFont="1" applyFill="1"/>
    <xf numFmtId="176" fontId="1" fillId="7" borderId="0" xfId="1" applyNumberFormat="1" applyFont="1" applyFill="1"/>
    <xf numFmtId="49" fontId="1" fillId="5" borderId="1" xfId="1" applyNumberFormat="1" applyFont="1" applyFill="1" applyBorder="1" applyAlignment="1" applyProtection="1">
      <alignment vertical="center" wrapText="1"/>
      <protection locked="0"/>
    </xf>
    <xf numFmtId="0" fontId="1" fillId="5" borderId="1" xfId="1" applyFont="1" applyFill="1" applyBorder="1" applyAlignment="1" applyProtection="1">
      <alignment vertical="center"/>
      <protection locked="0"/>
    </xf>
    <xf numFmtId="0" fontId="1" fillId="8" borderId="0" xfId="1" applyFont="1" applyFill="1"/>
    <xf numFmtId="0" fontId="8" fillId="8" borderId="0" xfId="1" applyFont="1" applyFill="1"/>
    <xf numFmtId="49" fontId="8" fillId="2" borderId="2" xfId="1" applyNumberFormat="1" applyFont="1" applyFill="1" applyBorder="1" applyAlignment="1" applyProtection="1">
      <alignment shrinkToFit="1"/>
      <protection locked="0"/>
    </xf>
    <xf numFmtId="49" fontId="8" fillId="2" borderId="2" xfId="1" applyNumberFormat="1" applyFont="1" applyFill="1" applyBorder="1" applyAlignment="1" applyProtection="1">
      <alignment wrapText="1"/>
      <protection locked="0"/>
    </xf>
    <xf numFmtId="0" fontId="9" fillId="8" borderId="0" xfId="1" applyFont="1" applyFill="1"/>
    <xf numFmtId="176" fontId="8" fillId="9" borderId="2" xfId="1" applyNumberFormat="1" applyFont="1" applyFill="1" applyBorder="1" applyAlignment="1">
      <alignment horizontal="center"/>
    </xf>
  </cellXfs>
  <cellStyles count="2">
    <cellStyle name="Normal" xfId="1" xr:uid="{00000000-0005-0000-0000-000000000000}"/>
    <cellStyle name="標準" xfId="0" builtinId="0"/>
  </cellStyles>
  <dxfs count="2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03864"/>
    <pageSetUpPr autoPageBreaks="0" fitToPage="1"/>
  </sheetPr>
  <dimension ref="A1:M212"/>
  <sheetViews>
    <sheetView showGridLines="0" tabSelected="1" workbookViewId="0">
      <pane xSplit="3" ySplit="12" topLeftCell="D13" activePane="bottomRight" state="frozen"/>
      <selection pane="topRight"/>
      <selection pane="bottomLeft"/>
      <selection pane="bottomRight" activeCell="B6" sqref="B6"/>
    </sheetView>
  </sheetViews>
  <sheetFormatPr defaultRowHeight="14.25" outlineLevelRow="1"/>
  <cols>
    <col min="1" max="1" width="8" customWidth="1"/>
    <col min="2" max="2" width="20" customWidth="1"/>
    <col min="3" max="3" width="24" customWidth="1"/>
    <col min="4" max="4" width="16" customWidth="1"/>
    <col min="5" max="5" width="19" customWidth="1"/>
    <col min="6" max="7" width="8" customWidth="1"/>
    <col min="8" max="8" width="17" customWidth="1"/>
    <col min="9" max="9" width="11" customWidth="1"/>
    <col min="10" max="10" width="22" customWidth="1"/>
    <col min="11" max="11" width="15" customWidth="1"/>
    <col min="12" max="12" width="34" customWidth="1"/>
    <col min="13" max="13" width="12" hidden="1" customWidth="1"/>
  </cols>
  <sheetData>
    <row r="1" spans="1:13" ht="27.95" customHeight="1" outlineLevel="1">
      <c r="A1" s="2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3.1" customHeight="1" outlineLevel="1" thickBot="1">
      <c r="A2" s="19" t="s">
        <v>106</v>
      </c>
      <c r="B2" s="16"/>
      <c r="C2" s="16"/>
      <c r="D2" s="16"/>
      <c r="E2" s="15"/>
      <c r="F2" s="15"/>
      <c r="G2" s="15"/>
      <c r="H2" s="1"/>
      <c r="I2" s="1"/>
      <c r="J2" s="1"/>
      <c r="K2" s="1"/>
      <c r="L2" s="1"/>
    </row>
    <row r="3" spans="1:13" ht="23.1" customHeight="1" outlineLevel="1" thickBot="1">
      <c r="A3" s="1" t="s">
        <v>0</v>
      </c>
      <c r="B3" s="20">
        <v>46432</v>
      </c>
      <c r="C3" s="1"/>
      <c r="D3" s="1"/>
      <c r="E3" s="1" t="s">
        <v>1</v>
      </c>
      <c r="F3" s="1" t="s">
        <v>2</v>
      </c>
      <c r="G3" s="1"/>
      <c r="H3" s="1"/>
      <c r="I3" s="1"/>
      <c r="J3" s="1" t="s">
        <v>3</v>
      </c>
      <c r="K3" s="1"/>
      <c r="L3" s="1"/>
    </row>
    <row r="4" spans="1:13" ht="23.1" customHeight="1" outlineLevel="1" thickBot="1">
      <c r="A4" s="1" t="s">
        <v>4</v>
      </c>
      <c r="B4" s="1"/>
      <c r="C4" s="17"/>
      <c r="D4" s="1"/>
      <c r="E4" s="1"/>
      <c r="F4" s="1"/>
      <c r="G4" s="1"/>
      <c r="H4" s="1"/>
      <c r="I4" s="1"/>
      <c r="J4" s="1" t="s">
        <v>5</v>
      </c>
      <c r="K4" s="1">
        <f>COUNTA(B13:B212)</f>
        <v>0</v>
      </c>
      <c r="L4" s="1"/>
    </row>
    <row r="5" spans="1:13" ht="23.1" customHeight="1" outlineLevel="1" thickBot="1">
      <c r="A5" s="1" t="s">
        <v>6</v>
      </c>
      <c r="B5" s="1"/>
      <c r="C5" s="17"/>
      <c r="D5" s="1"/>
      <c r="E5" s="1" t="s">
        <v>7</v>
      </c>
      <c r="F5" s="1"/>
      <c r="G5" s="1"/>
      <c r="H5" s="18"/>
      <c r="I5" s="1"/>
      <c r="J5" s="1" t="s">
        <v>8</v>
      </c>
      <c r="K5" s="1">
        <f>SUMPRODUCT((F13:F212&lt;&gt;"")*1)+SUMPRODUCT((G13:G212&lt;&gt;"")*1)+SUMPRODUCT((H13:H212&lt;&gt;"")*1)</f>
        <v>0</v>
      </c>
      <c r="L5" s="1"/>
    </row>
    <row r="6" spans="1:13" ht="42" customHeight="1" outlineLevel="1" thickBot="1">
      <c r="A6" s="1" t="s">
        <v>9</v>
      </c>
      <c r="B6" s="1"/>
      <c r="C6" s="17"/>
      <c r="D6" s="1"/>
      <c r="E6" s="1" t="s">
        <v>10</v>
      </c>
      <c r="F6" s="1"/>
      <c r="G6" s="1"/>
      <c r="H6" s="18"/>
      <c r="I6" s="1"/>
      <c r="J6" s="1" t="s">
        <v>11</v>
      </c>
      <c r="K6" s="3">
        <f>SUM(K13:K212)</f>
        <v>0</v>
      </c>
      <c r="L6" s="1"/>
    </row>
    <row r="7" spans="1:13" ht="23.1" customHeight="1" outlineLevel="1" thickBot="1">
      <c r="A7" s="1" t="s">
        <v>12</v>
      </c>
      <c r="B7" s="1"/>
      <c r="C7" s="17"/>
      <c r="D7" s="1"/>
      <c r="E7" s="1"/>
      <c r="F7" s="1"/>
      <c r="G7" s="1"/>
      <c r="H7" s="1"/>
      <c r="I7" s="1"/>
      <c r="J7" s="1" t="s">
        <v>13</v>
      </c>
      <c r="K7" s="1">
        <f>SUMPRODUCT((L13:L212&lt;&gt;"")*1)</f>
        <v>0</v>
      </c>
      <c r="L7" s="1"/>
    </row>
    <row r="8" spans="1:13" ht="23.1" customHeight="1" outlineLevel="1" thickBot="1">
      <c r="A8" s="1" t="s">
        <v>14</v>
      </c>
      <c r="B8" s="1"/>
      <c r="C8" s="17"/>
      <c r="D8" s="1"/>
      <c r="E8" s="1" t="s">
        <v>15</v>
      </c>
      <c r="F8" s="1"/>
      <c r="G8" s="1"/>
      <c r="H8" s="1"/>
      <c r="I8" s="1"/>
      <c r="J8" s="1"/>
      <c r="K8" s="1"/>
      <c r="L8" s="1"/>
    </row>
    <row r="9" spans="1:13" ht="23.1" customHeight="1" outlineLevel="1">
      <c r="A9" s="1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 ht="23.1" customHeight="1" outlineLevel="1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3" ht="32.1" customHeight="1">
      <c r="A11" s="6" t="s">
        <v>18</v>
      </c>
      <c r="B11" s="6" t="s">
        <v>19</v>
      </c>
      <c r="C11" s="6" t="s">
        <v>20</v>
      </c>
      <c r="D11" s="6" t="s">
        <v>21</v>
      </c>
      <c r="E11" s="6" t="s">
        <v>22</v>
      </c>
      <c r="F11" s="6" t="s">
        <v>23</v>
      </c>
      <c r="G11" s="6" t="s">
        <v>24</v>
      </c>
      <c r="H11" s="6" t="s">
        <v>25</v>
      </c>
      <c r="I11" s="6" t="s">
        <v>26</v>
      </c>
      <c r="J11" s="6" t="s">
        <v>27</v>
      </c>
      <c r="K11" s="6" t="s">
        <v>28</v>
      </c>
      <c r="L11" s="6" t="s">
        <v>29</v>
      </c>
      <c r="M11" s="1"/>
    </row>
    <row r="12" spans="1:13" ht="38.1" customHeight="1">
      <c r="A12" s="7" t="s">
        <v>30</v>
      </c>
      <c r="B12" s="7" t="s">
        <v>31</v>
      </c>
      <c r="C12" s="7" t="s">
        <v>32</v>
      </c>
      <c r="D12" s="7" t="s">
        <v>33</v>
      </c>
      <c r="E12" s="7" t="str">
        <f>IF(COUNTA($C$4)=0,"教室名を自動表示",$C$4)</f>
        <v>教室名を自動表示</v>
      </c>
      <c r="F12" s="7">
        <v>3</v>
      </c>
      <c r="G12" s="7">
        <v>3</v>
      </c>
      <c r="H12" s="7" t="s">
        <v>104</v>
      </c>
      <c r="I12" s="7" t="s">
        <v>34</v>
      </c>
      <c r="J12" s="7" t="s">
        <v>35</v>
      </c>
      <c r="K12" s="7" t="s">
        <v>105</v>
      </c>
      <c r="L12" s="7" t="s">
        <v>36</v>
      </c>
      <c r="M12" s="1"/>
    </row>
    <row r="13" spans="1:13" ht="27" customHeight="1">
      <c r="A13" s="8" t="str">
        <f t="shared" ref="A13:A44" si="0">IF(COUNTA(B13:D13,F13:J13)=0,"",ROW()-12)</f>
        <v/>
      </c>
      <c r="B13" s="13"/>
      <c r="C13" s="13"/>
      <c r="D13" s="13"/>
      <c r="E13" s="9" t="str">
        <f t="shared" ref="E13:E44" si="1">IF(COUNTA(B13:D13,F13:J13)=0,"",IF(COUNTA($C$4)=0,"",$C$4))</f>
        <v/>
      </c>
      <c r="F13" s="14"/>
      <c r="G13" s="14"/>
      <c r="H13" s="14"/>
      <c r="I13" s="14"/>
      <c r="J13" s="14"/>
      <c r="K13" s="10" t="str">
        <f>IF(COUNTA(B13:D13,F13:J13)=0,"",IF(OR(AND(F13&lt;&gt;"",ISERROR(VLOOKUP(VALUE(F13),料金表!$A$6:$B$8,2,FALSE()))),AND(G13&lt;&gt;"",ISERROR(VLOOKUP(VALUE(G13),料金表!$D$6:$E$8,2,FALSE()))),AND(H13&lt;&gt;"",ISERROR(VLOOKUP(H13,料金表!$G$6:$H$8,2,FALSE())))),"要確認",IF(F13="",0,VLOOKUP(VALUE(F13),料金表!$A$6:$B$8,2,FALSE()))+IF(G13="",0,VLOOKUP(VALUE(G13),料金表!$D$6:$E$8,2,FALSE()))+IF(H13="",0,VLOOKUP(H13,料金表!$G$6:$H$8,2,FALSE()))))</f>
        <v/>
      </c>
      <c r="L13" s="8" t="str">
        <f t="shared" ref="L13:L44" si="2">IF(COUNTA(B13:D13,F13:J13)=0,"",IF(OR(B13="",C13="",D13=""),"要確認：氏名・カナ・生年月日",IF(NOT(AND(ISTEXT(B13),LEN(B13)-LEN(SUBSTITUTE(B13," ",""))=1,LEFT(B13,1)&lt;&gt;" ",RIGHT(B13,1)&lt;&gt;" ",ISERROR(SEARCH("　",B13)))),"要確認：姓と名に半角スペース",IF(NOT(IFERROR(AND(ISTEXT(D13),LEN(D13)&gt;=8,LEN(D13)&lt;=10,MID(D13,5,1)="/",LEN(D13)-LEN(SUBSTITUTE(D13,"/",""))=2,FIND("/",D13,6)&gt;=7,FIND("/",D13,6)&lt;=8,LEN(D13)-FIND("/",D13,6)&gt;=1,LEN(D13)-FIND("/",D13,6)&lt;=2,YEAR(DATE(VALUE(LEFT(D13,4)),VALUE(MID(D13,6,FIND("/",D13,6)-6)),VALUE(MID(D13,FIND("/",D13,6)+1,2))))=VALUE(LEFT(D13,4)),MONTH(DATE(VALUE(LEFT(D13,4)),VALUE(MID(D13,6,FIND("/",D13,6)-6)),VALUE(MID(D13,FIND("/",D13,6)+1,2))))=VALUE(MID(D13,6,FIND("/",D13,6)-6)),DAY(DATE(VALUE(LEFT(D13,4)),VALUE(MID(D13,6,FIND("/",D13,6)-6)),VALUE(MID(D13,FIND("/",D13,6)+1,2))))=VALUE(MID(D13,FIND("/",D13,6)+1,2)),DATE(VALUE(LEFT(D13,4)),VALUE(MID(D13,6,FIND("/",D13,6)-6)),VALUE(MID(D13,FIND("/",D13,6)+1,2)))&gt;=DATE(1900,1,1),DATE(VALUE(LEFT(D13,4)),VALUE(MID(D13,6,FIND("/",D13,6)-6)),VALUE(MID(D13,FIND("/",D13,6)+1,2)))&lt;=$B$3,NOT(AND(VALUE(LEFT(D13,4))=1900,VALUE(MID(D13,6,FIND("/",D13,6)-6))=2,VALUE(MID(D13,FIND("/",D13,6)+1,2))=29))),FALSE())),"要確認：生年月日は西暦/月/日",IF(COUNTA(F13:H13)=0,"要確認：受験種目",IF(NOT(ISNUMBER(K13)),"要確認：級・段位",IF(AND(I13&lt;&gt;"",NOT(OR(I13="未確認",I13="はい",I13="いいえ"))),"要確認：初受験",IF(OR(AND(F13&lt;&gt;"",COUNTIFS($B$13:$B$212,B13,$M$13:$M$212,M13,$F$13:$F$212,F13)&gt;1),AND(G13&lt;&gt;"",COUNTIFS($B$13:$B$212,B13,$M$13:$M$212,M13,$G$13:$G$212,G13)&gt;1),AND(H13&lt;&gt;"",COUNTIFS($B$13:$B$212,B13,$M$13:$M$212,M13,$H$13:$H$212,H13)&gt;1)),"要確認：同じ種目・級が重複",""))))))))</f>
        <v/>
      </c>
      <c r="M13" s="1" t="str">
        <f t="shared" ref="M13:M44" si="3">IF(D13="","",IFERROR(DATE(VALUE(LEFT(D13,4)),VALUE(MID(D13,6,FIND("/",D13,6)-6)),VALUE(MID(D13,FIND("/",D13,6)+1,2))),""))</f>
        <v/>
      </c>
    </row>
    <row r="14" spans="1:13" ht="27" customHeight="1">
      <c r="A14" s="8" t="str">
        <f t="shared" si="0"/>
        <v/>
      </c>
      <c r="B14" s="13"/>
      <c r="C14" s="13"/>
      <c r="D14" s="13"/>
      <c r="E14" s="9" t="str">
        <f t="shared" si="1"/>
        <v/>
      </c>
      <c r="F14" s="14"/>
      <c r="G14" s="14"/>
      <c r="H14" s="14"/>
      <c r="I14" s="14"/>
      <c r="J14" s="14"/>
      <c r="K14" s="10" t="str">
        <f>IF(COUNTA(B14:D14,F14:J14)=0,"",IF(OR(AND(F14&lt;&gt;"",ISERROR(VLOOKUP(VALUE(F14),料金表!$A$6:$B$8,2,FALSE()))),AND(G14&lt;&gt;"",ISERROR(VLOOKUP(VALUE(G14),料金表!$D$6:$E$8,2,FALSE()))),AND(H14&lt;&gt;"",ISERROR(VLOOKUP(H14,料金表!$G$6:$H$8,2,FALSE())))),"要確認",IF(F14="",0,VLOOKUP(VALUE(F14),料金表!$A$6:$B$8,2,FALSE()))+IF(G14="",0,VLOOKUP(VALUE(G14),料金表!$D$6:$E$8,2,FALSE()))+IF(H14="",0,VLOOKUP(H14,料金表!$G$6:$H$8,2,FALSE()))))</f>
        <v/>
      </c>
      <c r="L14" s="8" t="str">
        <f t="shared" si="2"/>
        <v/>
      </c>
      <c r="M14" s="1" t="str">
        <f t="shared" si="3"/>
        <v/>
      </c>
    </row>
    <row r="15" spans="1:13" ht="27" customHeight="1">
      <c r="A15" s="8" t="str">
        <f t="shared" si="0"/>
        <v/>
      </c>
      <c r="B15" s="13"/>
      <c r="C15" s="13"/>
      <c r="D15" s="13"/>
      <c r="E15" s="9" t="str">
        <f t="shared" si="1"/>
        <v/>
      </c>
      <c r="F15" s="14"/>
      <c r="G15" s="14"/>
      <c r="H15" s="14"/>
      <c r="I15" s="14"/>
      <c r="J15" s="14"/>
      <c r="K15" s="10" t="str">
        <f>IF(COUNTA(B15:D15,F15:J15)=0,"",IF(OR(AND(F15&lt;&gt;"",ISERROR(VLOOKUP(VALUE(F15),料金表!$A$6:$B$8,2,FALSE()))),AND(G15&lt;&gt;"",ISERROR(VLOOKUP(VALUE(G15),料金表!$D$6:$E$8,2,FALSE()))),AND(H15&lt;&gt;"",ISERROR(VLOOKUP(H15,料金表!$G$6:$H$8,2,FALSE())))),"要確認",IF(F15="",0,VLOOKUP(VALUE(F15),料金表!$A$6:$B$8,2,FALSE()))+IF(G15="",0,VLOOKUP(VALUE(G15),料金表!$D$6:$E$8,2,FALSE()))+IF(H15="",0,VLOOKUP(H15,料金表!$G$6:$H$8,2,FALSE()))))</f>
        <v/>
      </c>
      <c r="L15" s="8" t="str">
        <f t="shared" si="2"/>
        <v/>
      </c>
      <c r="M15" s="1" t="str">
        <f t="shared" si="3"/>
        <v/>
      </c>
    </row>
    <row r="16" spans="1:13" ht="27" customHeight="1">
      <c r="A16" s="8" t="str">
        <f t="shared" si="0"/>
        <v/>
      </c>
      <c r="B16" s="13"/>
      <c r="C16" s="13"/>
      <c r="D16" s="13"/>
      <c r="E16" s="9" t="str">
        <f t="shared" si="1"/>
        <v/>
      </c>
      <c r="F16" s="14"/>
      <c r="G16" s="14"/>
      <c r="H16" s="14"/>
      <c r="I16" s="14"/>
      <c r="J16" s="14"/>
      <c r="K16" s="10" t="str">
        <f>IF(COUNTA(B16:D16,F16:J16)=0,"",IF(OR(AND(F16&lt;&gt;"",ISERROR(VLOOKUP(VALUE(F16),料金表!$A$6:$B$8,2,FALSE()))),AND(G16&lt;&gt;"",ISERROR(VLOOKUP(VALUE(G16),料金表!$D$6:$E$8,2,FALSE()))),AND(H16&lt;&gt;"",ISERROR(VLOOKUP(H16,料金表!$G$6:$H$8,2,FALSE())))),"要確認",IF(F16="",0,VLOOKUP(VALUE(F16),料金表!$A$6:$B$8,2,FALSE()))+IF(G16="",0,VLOOKUP(VALUE(G16),料金表!$D$6:$E$8,2,FALSE()))+IF(H16="",0,VLOOKUP(H16,料金表!$G$6:$H$8,2,FALSE()))))</f>
        <v/>
      </c>
      <c r="L16" s="8" t="str">
        <f t="shared" si="2"/>
        <v/>
      </c>
      <c r="M16" s="1" t="str">
        <f t="shared" si="3"/>
        <v/>
      </c>
    </row>
    <row r="17" spans="1:13" ht="27" customHeight="1">
      <c r="A17" s="8" t="str">
        <f t="shared" si="0"/>
        <v/>
      </c>
      <c r="B17" s="13"/>
      <c r="C17" s="13"/>
      <c r="D17" s="13"/>
      <c r="E17" s="9" t="str">
        <f t="shared" si="1"/>
        <v/>
      </c>
      <c r="F17" s="14"/>
      <c r="G17" s="14"/>
      <c r="H17" s="14"/>
      <c r="I17" s="14"/>
      <c r="J17" s="14"/>
      <c r="K17" s="10" t="str">
        <f>IF(COUNTA(B17:D17,F17:J17)=0,"",IF(OR(AND(F17&lt;&gt;"",ISERROR(VLOOKUP(VALUE(F17),料金表!$A$6:$B$8,2,FALSE()))),AND(G17&lt;&gt;"",ISERROR(VLOOKUP(VALUE(G17),料金表!$D$6:$E$8,2,FALSE()))),AND(H17&lt;&gt;"",ISERROR(VLOOKUP(H17,料金表!$G$6:$H$8,2,FALSE())))),"要確認",IF(F17="",0,VLOOKUP(VALUE(F17),料金表!$A$6:$B$8,2,FALSE()))+IF(G17="",0,VLOOKUP(VALUE(G17),料金表!$D$6:$E$8,2,FALSE()))+IF(H17="",0,VLOOKUP(H17,料金表!$G$6:$H$8,2,FALSE()))))</f>
        <v/>
      </c>
      <c r="L17" s="8" t="str">
        <f t="shared" si="2"/>
        <v/>
      </c>
      <c r="M17" s="1" t="str">
        <f t="shared" si="3"/>
        <v/>
      </c>
    </row>
    <row r="18" spans="1:13" ht="27" customHeight="1">
      <c r="A18" s="8" t="str">
        <f t="shared" si="0"/>
        <v/>
      </c>
      <c r="B18" s="13"/>
      <c r="C18" s="13"/>
      <c r="D18" s="13"/>
      <c r="E18" s="9" t="str">
        <f t="shared" si="1"/>
        <v/>
      </c>
      <c r="F18" s="14"/>
      <c r="G18" s="14"/>
      <c r="H18" s="14"/>
      <c r="I18" s="14"/>
      <c r="J18" s="14"/>
      <c r="K18" s="10" t="str">
        <f>IF(COUNTA(B18:D18,F18:J18)=0,"",IF(OR(AND(F18&lt;&gt;"",ISERROR(VLOOKUP(VALUE(F18),料金表!$A$6:$B$8,2,FALSE()))),AND(G18&lt;&gt;"",ISERROR(VLOOKUP(VALUE(G18),料金表!$D$6:$E$8,2,FALSE()))),AND(H18&lt;&gt;"",ISERROR(VLOOKUP(H18,料金表!$G$6:$H$8,2,FALSE())))),"要確認",IF(F18="",0,VLOOKUP(VALUE(F18),料金表!$A$6:$B$8,2,FALSE()))+IF(G18="",0,VLOOKUP(VALUE(G18),料金表!$D$6:$E$8,2,FALSE()))+IF(H18="",0,VLOOKUP(H18,料金表!$G$6:$H$8,2,FALSE()))))</f>
        <v/>
      </c>
      <c r="L18" s="8" t="str">
        <f t="shared" si="2"/>
        <v/>
      </c>
      <c r="M18" s="1" t="str">
        <f t="shared" si="3"/>
        <v/>
      </c>
    </row>
    <row r="19" spans="1:13" ht="27" customHeight="1">
      <c r="A19" s="8" t="str">
        <f t="shared" si="0"/>
        <v/>
      </c>
      <c r="B19" s="13"/>
      <c r="C19" s="13"/>
      <c r="D19" s="13"/>
      <c r="E19" s="9" t="str">
        <f t="shared" si="1"/>
        <v/>
      </c>
      <c r="F19" s="14"/>
      <c r="G19" s="14"/>
      <c r="H19" s="14"/>
      <c r="I19" s="14"/>
      <c r="J19" s="14"/>
      <c r="K19" s="10" t="str">
        <f>IF(COUNTA(B19:D19,F19:J19)=0,"",IF(OR(AND(F19&lt;&gt;"",ISERROR(VLOOKUP(VALUE(F19),料金表!$A$6:$B$8,2,FALSE()))),AND(G19&lt;&gt;"",ISERROR(VLOOKUP(VALUE(G19),料金表!$D$6:$E$8,2,FALSE()))),AND(H19&lt;&gt;"",ISERROR(VLOOKUP(H19,料金表!$G$6:$H$8,2,FALSE())))),"要確認",IF(F19="",0,VLOOKUP(VALUE(F19),料金表!$A$6:$B$8,2,FALSE()))+IF(G19="",0,VLOOKUP(VALUE(G19),料金表!$D$6:$E$8,2,FALSE()))+IF(H19="",0,VLOOKUP(H19,料金表!$G$6:$H$8,2,FALSE()))))</f>
        <v/>
      </c>
      <c r="L19" s="8" t="str">
        <f t="shared" si="2"/>
        <v/>
      </c>
      <c r="M19" s="1" t="str">
        <f t="shared" si="3"/>
        <v/>
      </c>
    </row>
    <row r="20" spans="1:13" ht="27" customHeight="1">
      <c r="A20" s="8" t="str">
        <f t="shared" si="0"/>
        <v/>
      </c>
      <c r="B20" s="13"/>
      <c r="C20" s="13"/>
      <c r="D20" s="13"/>
      <c r="E20" s="9" t="str">
        <f t="shared" si="1"/>
        <v/>
      </c>
      <c r="F20" s="14"/>
      <c r="G20" s="14"/>
      <c r="H20" s="14"/>
      <c r="I20" s="14"/>
      <c r="J20" s="14"/>
      <c r="K20" s="10" t="str">
        <f>IF(COUNTA(B20:D20,F20:J20)=0,"",IF(OR(AND(F20&lt;&gt;"",ISERROR(VLOOKUP(VALUE(F20),料金表!$A$6:$B$8,2,FALSE()))),AND(G20&lt;&gt;"",ISERROR(VLOOKUP(VALUE(G20),料金表!$D$6:$E$8,2,FALSE()))),AND(H20&lt;&gt;"",ISERROR(VLOOKUP(H20,料金表!$G$6:$H$8,2,FALSE())))),"要確認",IF(F20="",0,VLOOKUP(VALUE(F20),料金表!$A$6:$B$8,2,FALSE()))+IF(G20="",0,VLOOKUP(VALUE(G20),料金表!$D$6:$E$8,2,FALSE()))+IF(H20="",0,VLOOKUP(H20,料金表!$G$6:$H$8,2,FALSE()))))</f>
        <v/>
      </c>
      <c r="L20" s="8" t="str">
        <f t="shared" si="2"/>
        <v/>
      </c>
      <c r="M20" s="1" t="str">
        <f t="shared" si="3"/>
        <v/>
      </c>
    </row>
    <row r="21" spans="1:13" ht="27" customHeight="1">
      <c r="A21" s="8" t="str">
        <f t="shared" si="0"/>
        <v/>
      </c>
      <c r="B21" s="13"/>
      <c r="C21" s="13"/>
      <c r="D21" s="13"/>
      <c r="E21" s="9" t="str">
        <f t="shared" si="1"/>
        <v/>
      </c>
      <c r="F21" s="14"/>
      <c r="G21" s="14"/>
      <c r="H21" s="14"/>
      <c r="I21" s="14"/>
      <c r="J21" s="14"/>
      <c r="K21" s="10" t="str">
        <f>IF(COUNTA(B21:D21,F21:J21)=0,"",IF(OR(AND(F21&lt;&gt;"",ISERROR(VLOOKUP(VALUE(F21),料金表!$A$6:$B$8,2,FALSE()))),AND(G21&lt;&gt;"",ISERROR(VLOOKUP(VALUE(G21),料金表!$D$6:$E$8,2,FALSE()))),AND(H21&lt;&gt;"",ISERROR(VLOOKUP(H21,料金表!$G$6:$H$8,2,FALSE())))),"要確認",IF(F21="",0,VLOOKUP(VALUE(F21),料金表!$A$6:$B$8,2,FALSE()))+IF(G21="",0,VLOOKUP(VALUE(G21),料金表!$D$6:$E$8,2,FALSE()))+IF(H21="",0,VLOOKUP(H21,料金表!$G$6:$H$8,2,FALSE()))))</f>
        <v/>
      </c>
      <c r="L21" s="8" t="str">
        <f t="shared" si="2"/>
        <v/>
      </c>
      <c r="M21" s="1" t="str">
        <f t="shared" si="3"/>
        <v/>
      </c>
    </row>
    <row r="22" spans="1:13" ht="27" customHeight="1">
      <c r="A22" s="8" t="str">
        <f t="shared" si="0"/>
        <v/>
      </c>
      <c r="B22" s="13"/>
      <c r="C22" s="13"/>
      <c r="D22" s="13"/>
      <c r="E22" s="9" t="str">
        <f t="shared" si="1"/>
        <v/>
      </c>
      <c r="F22" s="14"/>
      <c r="G22" s="14"/>
      <c r="H22" s="14"/>
      <c r="I22" s="14"/>
      <c r="J22" s="14"/>
      <c r="K22" s="10" t="str">
        <f>IF(COUNTA(B22:D22,F22:J22)=0,"",IF(OR(AND(F22&lt;&gt;"",ISERROR(VLOOKUP(VALUE(F22),料金表!$A$6:$B$8,2,FALSE()))),AND(G22&lt;&gt;"",ISERROR(VLOOKUP(VALUE(G22),料金表!$D$6:$E$8,2,FALSE()))),AND(H22&lt;&gt;"",ISERROR(VLOOKUP(H22,料金表!$G$6:$H$8,2,FALSE())))),"要確認",IF(F22="",0,VLOOKUP(VALUE(F22),料金表!$A$6:$B$8,2,FALSE()))+IF(G22="",0,VLOOKUP(VALUE(G22),料金表!$D$6:$E$8,2,FALSE()))+IF(H22="",0,VLOOKUP(H22,料金表!$G$6:$H$8,2,FALSE()))))</f>
        <v/>
      </c>
      <c r="L22" s="8" t="str">
        <f t="shared" si="2"/>
        <v/>
      </c>
      <c r="M22" s="1" t="str">
        <f t="shared" si="3"/>
        <v/>
      </c>
    </row>
    <row r="23" spans="1:13" ht="27" customHeight="1">
      <c r="A23" s="8" t="str">
        <f t="shared" si="0"/>
        <v/>
      </c>
      <c r="B23" s="13"/>
      <c r="C23" s="13"/>
      <c r="D23" s="13"/>
      <c r="E23" s="9" t="str">
        <f t="shared" si="1"/>
        <v/>
      </c>
      <c r="F23" s="14"/>
      <c r="G23" s="14"/>
      <c r="H23" s="14"/>
      <c r="I23" s="14"/>
      <c r="J23" s="14"/>
      <c r="K23" s="10" t="str">
        <f>IF(COUNTA(B23:D23,F23:J23)=0,"",IF(OR(AND(F23&lt;&gt;"",ISERROR(VLOOKUP(VALUE(F23),料金表!$A$6:$B$8,2,FALSE()))),AND(G23&lt;&gt;"",ISERROR(VLOOKUP(VALUE(G23),料金表!$D$6:$E$8,2,FALSE()))),AND(H23&lt;&gt;"",ISERROR(VLOOKUP(H23,料金表!$G$6:$H$8,2,FALSE())))),"要確認",IF(F23="",0,VLOOKUP(VALUE(F23),料金表!$A$6:$B$8,2,FALSE()))+IF(G23="",0,VLOOKUP(VALUE(G23),料金表!$D$6:$E$8,2,FALSE()))+IF(H23="",0,VLOOKUP(H23,料金表!$G$6:$H$8,2,FALSE()))))</f>
        <v/>
      </c>
      <c r="L23" s="8" t="str">
        <f t="shared" si="2"/>
        <v/>
      </c>
      <c r="M23" s="1" t="str">
        <f t="shared" si="3"/>
        <v/>
      </c>
    </row>
    <row r="24" spans="1:13" ht="27" customHeight="1">
      <c r="A24" s="8" t="str">
        <f t="shared" si="0"/>
        <v/>
      </c>
      <c r="B24" s="13"/>
      <c r="C24" s="13"/>
      <c r="D24" s="13"/>
      <c r="E24" s="9" t="str">
        <f t="shared" si="1"/>
        <v/>
      </c>
      <c r="F24" s="14"/>
      <c r="G24" s="14"/>
      <c r="H24" s="14"/>
      <c r="I24" s="14"/>
      <c r="J24" s="14"/>
      <c r="K24" s="10" t="str">
        <f>IF(COUNTA(B24:D24,F24:J24)=0,"",IF(OR(AND(F24&lt;&gt;"",ISERROR(VLOOKUP(VALUE(F24),料金表!$A$6:$B$8,2,FALSE()))),AND(G24&lt;&gt;"",ISERROR(VLOOKUP(VALUE(G24),料金表!$D$6:$E$8,2,FALSE()))),AND(H24&lt;&gt;"",ISERROR(VLOOKUP(H24,料金表!$G$6:$H$8,2,FALSE())))),"要確認",IF(F24="",0,VLOOKUP(VALUE(F24),料金表!$A$6:$B$8,2,FALSE()))+IF(G24="",0,VLOOKUP(VALUE(G24),料金表!$D$6:$E$8,2,FALSE()))+IF(H24="",0,VLOOKUP(H24,料金表!$G$6:$H$8,2,FALSE()))))</f>
        <v/>
      </c>
      <c r="L24" s="8" t="str">
        <f t="shared" si="2"/>
        <v/>
      </c>
      <c r="M24" s="1" t="str">
        <f t="shared" si="3"/>
        <v/>
      </c>
    </row>
    <row r="25" spans="1:13" ht="27" customHeight="1">
      <c r="A25" s="8" t="str">
        <f t="shared" si="0"/>
        <v/>
      </c>
      <c r="B25" s="13"/>
      <c r="C25" s="13"/>
      <c r="D25" s="13"/>
      <c r="E25" s="9" t="str">
        <f t="shared" si="1"/>
        <v/>
      </c>
      <c r="F25" s="14"/>
      <c r="G25" s="14"/>
      <c r="H25" s="14"/>
      <c r="I25" s="14"/>
      <c r="J25" s="14"/>
      <c r="K25" s="10" t="str">
        <f>IF(COUNTA(B25:D25,F25:J25)=0,"",IF(OR(AND(F25&lt;&gt;"",ISERROR(VLOOKUP(VALUE(F25),料金表!$A$6:$B$8,2,FALSE()))),AND(G25&lt;&gt;"",ISERROR(VLOOKUP(VALUE(G25),料金表!$D$6:$E$8,2,FALSE()))),AND(H25&lt;&gt;"",ISERROR(VLOOKUP(H25,料金表!$G$6:$H$8,2,FALSE())))),"要確認",IF(F25="",0,VLOOKUP(VALUE(F25),料金表!$A$6:$B$8,2,FALSE()))+IF(G25="",0,VLOOKUP(VALUE(G25),料金表!$D$6:$E$8,2,FALSE()))+IF(H25="",0,VLOOKUP(H25,料金表!$G$6:$H$8,2,FALSE()))))</f>
        <v/>
      </c>
      <c r="L25" s="8" t="str">
        <f t="shared" si="2"/>
        <v/>
      </c>
      <c r="M25" s="1" t="str">
        <f t="shared" si="3"/>
        <v/>
      </c>
    </row>
    <row r="26" spans="1:13" ht="27" customHeight="1">
      <c r="A26" s="8" t="str">
        <f t="shared" si="0"/>
        <v/>
      </c>
      <c r="B26" s="13"/>
      <c r="C26" s="13"/>
      <c r="D26" s="13"/>
      <c r="E26" s="9" t="str">
        <f t="shared" si="1"/>
        <v/>
      </c>
      <c r="F26" s="14"/>
      <c r="G26" s="14"/>
      <c r="H26" s="14"/>
      <c r="I26" s="14"/>
      <c r="J26" s="14"/>
      <c r="K26" s="10" t="str">
        <f>IF(COUNTA(B26:D26,F26:J26)=0,"",IF(OR(AND(F26&lt;&gt;"",ISERROR(VLOOKUP(VALUE(F26),料金表!$A$6:$B$8,2,FALSE()))),AND(G26&lt;&gt;"",ISERROR(VLOOKUP(VALUE(G26),料金表!$D$6:$E$8,2,FALSE()))),AND(H26&lt;&gt;"",ISERROR(VLOOKUP(H26,料金表!$G$6:$H$8,2,FALSE())))),"要確認",IF(F26="",0,VLOOKUP(VALUE(F26),料金表!$A$6:$B$8,2,FALSE()))+IF(G26="",0,VLOOKUP(VALUE(G26),料金表!$D$6:$E$8,2,FALSE()))+IF(H26="",0,VLOOKUP(H26,料金表!$G$6:$H$8,2,FALSE()))))</f>
        <v/>
      </c>
      <c r="L26" s="8" t="str">
        <f t="shared" si="2"/>
        <v/>
      </c>
      <c r="M26" s="1" t="str">
        <f t="shared" si="3"/>
        <v/>
      </c>
    </row>
    <row r="27" spans="1:13" ht="27" customHeight="1">
      <c r="A27" s="8" t="str">
        <f t="shared" si="0"/>
        <v/>
      </c>
      <c r="B27" s="13"/>
      <c r="C27" s="13"/>
      <c r="D27" s="13"/>
      <c r="E27" s="9" t="str">
        <f t="shared" si="1"/>
        <v/>
      </c>
      <c r="F27" s="14"/>
      <c r="G27" s="14"/>
      <c r="H27" s="14"/>
      <c r="I27" s="14"/>
      <c r="J27" s="14"/>
      <c r="K27" s="10" t="str">
        <f>IF(COUNTA(B27:D27,F27:J27)=0,"",IF(OR(AND(F27&lt;&gt;"",ISERROR(VLOOKUP(VALUE(F27),料金表!$A$6:$B$8,2,FALSE()))),AND(G27&lt;&gt;"",ISERROR(VLOOKUP(VALUE(G27),料金表!$D$6:$E$8,2,FALSE()))),AND(H27&lt;&gt;"",ISERROR(VLOOKUP(H27,料金表!$G$6:$H$8,2,FALSE())))),"要確認",IF(F27="",0,VLOOKUP(VALUE(F27),料金表!$A$6:$B$8,2,FALSE()))+IF(G27="",0,VLOOKUP(VALUE(G27),料金表!$D$6:$E$8,2,FALSE()))+IF(H27="",0,VLOOKUP(H27,料金表!$G$6:$H$8,2,FALSE()))))</f>
        <v/>
      </c>
      <c r="L27" s="8" t="str">
        <f t="shared" si="2"/>
        <v/>
      </c>
      <c r="M27" s="1" t="str">
        <f t="shared" si="3"/>
        <v/>
      </c>
    </row>
    <row r="28" spans="1:13" ht="27" customHeight="1">
      <c r="A28" s="8" t="str">
        <f t="shared" si="0"/>
        <v/>
      </c>
      <c r="B28" s="13"/>
      <c r="C28" s="13"/>
      <c r="D28" s="13"/>
      <c r="E28" s="9" t="str">
        <f t="shared" si="1"/>
        <v/>
      </c>
      <c r="F28" s="14"/>
      <c r="G28" s="14"/>
      <c r="H28" s="14"/>
      <c r="I28" s="14"/>
      <c r="J28" s="14"/>
      <c r="K28" s="10" t="str">
        <f>IF(COUNTA(B28:D28,F28:J28)=0,"",IF(OR(AND(F28&lt;&gt;"",ISERROR(VLOOKUP(VALUE(F28),料金表!$A$6:$B$8,2,FALSE()))),AND(G28&lt;&gt;"",ISERROR(VLOOKUP(VALUE(G28),料金表!$D$6:$E$8,2,FALSE()))),AND(H28&lt;&gt;"",ISERROR(VLOOKUP(H28,料金表!$G$6:$H$8,2,FALSE())))),"要確認",IF(F28="",0,VLOOKUP(VALUE(F28),料金表!$A$6:$B$8,2,FALSE()))+IF(G28="",0,VLOOKUP(VALUE(G28),料金表!$D$6:$E$8,2,FALSE()))+IF(H28="",0,VLOOKUP(H28,料金表!$G$6:$H$8,2,FALSE()))))</f>
        <v/>
      </c>
      <c r="L28" s="8" t="str">
        <f t="shared" si="2"/>
        <v/>
      </c>
      <c r="M28" s="1" t="str">
        <f t="shared" si="3"/>
        <v/>
      </c>
    </row>
    <row r="29" spans="1:13" ht="27" customHeight="1">
      <c r="A29" s="8" t="str">
        <f t="shared" si="0"/>
        <v/>
      </c>
      <c r="B29" s="13"/>
      <c r="C29" s="13"/>
      <c r="D29" s="13"/>
      <c r="E29" s="9" t="str">
        <f t="shared" si="1"/>
        <v/>
      </c>
      <c r="F29" s="14"/>
      <c r="G29" s="14"/>
      <c r="H29" s="14"/>
      <c r="I29" s="14"/>
      <c r="J29" s="14"/>
      <c r="K29" s="10" t="str">
        <f>IF(COUNTA(B29:D29,F29:J29)=0,"",IF(OR(AND(F29&lt;&gt;"",ISERROR(VLOOKUP(VALUE(F29),料金表!$A$6:$B$8,2,FALSE()))),AND(G29&lt;&gt;"",ISERROR(VLOOKUP(VALUE(G29),料金表!$D$6:$E$8,2,FALSE()))),AND(H29&lt;&gt;"",ISERROR(VLOOKUP(H29,料金表!$G$6:$H$8,2,FALSE())))),"要確認",IF(F29="",0,VLOOKUP(VALUE(F29),料金表!$A$6:$B$8,2,FALSE()))+IF(G29="",0,VLOOKUP(VALUE(G29),料金表!$D$6:$E$8,2,FALSE()))+IF(H29="",0,VLOOKUP(H29,料金表!$G$6:$H$8,2,FALSE()))))</f>
        <v/>
      </c>
      <c r="L29" s="8" t="str">
        <f t="shared" si="2"/>
        <v/>
      </c>
      <c r="M29" s="1" t="str">
        <f t="shared" si="3"/>
        <v/>
      </c>
    </row>
    <row r="30" spans="1:13" ht="27" customHeight="1">
      <c r="A30" s="8" t="str">
        <f t="shared" si="0"/>
        <v/>
      </c>
      <c r="B30" s="13"/>
      <c r="C30" s="13"/>
      <c r="D30" s="13"/>
      <c r="E30" s="9" t="str">
        <f t="shared" si="1"/>
        <v/>
      </c>
      <c r="F30" s="14"/>
      <c r="G30" s="14"/>
      <c r="H30" s="14"/>
      <c r="I30" s="14"/>
      <c r="J30" s="14"/>
      <c r="K30" s="10" t="str">
        <f>IF(COUNTA(B30:D30,F30:J30)=0,"",IF(OR(AND(F30&lt;&gt;"",ISERROR(VLOOKUP(VALUE(F30),料金表!$A$6:$B$8,2,FALSE()))),AND(G30&lt;&gt;"",ISERROR(VLOOKUP(VALUE(G30),料金表!$D$6:$E$8,2,FALSE()))),AND(H30&lt;&gt;"",ISERROR(VLOOKUP(H30,料金表!$G$6:$H$8,2,FALSE())))),"要確認",IF(F30="",0,VLOOKUP(VALUE(F30),料金表!$A$6:$B$8,2,FALSE()))+IF(G30="",0,VLOOKUP(VALUE(G30),料金表!$D$6:$E$8,2,FALSE()))+IF(H30="",0,VLOOKUP(H30,料金表!$G$6:$H$8,2,FALSE()))))</f>
        <v/>
      </c>
      <c r="L30" s="8" t="str">
        <f t="shared" si="2"/>
        <v/>
      </c>
      <c r="M30" s="1" t="str">
        <f t="shared" si="3"/>
        <v/>
      </c>
    </row>
    <row r="31" spans="1:13" ht="27" customHeight="1">
      <c r="A31" s="8" t="str">
        <f t="shared" si="0"/>
        <v/>
      </c>
      <c r="B31" s="13"/>
      <c r="C31" s="13"/>
      <c r="D31" s="13"/>
      <c r="E31" s="9" t="str">
        <f t="shared" si="1"/>
        <v/>
      </c>
      <c r="F31" s="14"/>
      <c r="G31" s="14"/>
      <c r="H31" s="14"/>
      <c r="I31" s="14"/>
      <c r="J31" s="14"/>
      <c r="K31" s="10" t="str">
        <f>IF(COUNTA(B31:D31,F31:J31)=0,"",IF(OR(AND(F31&lt;&gt;"",ISERROR(VLOOKUP(VALUE(F31),料金表!$A$6:$B$8,2,FALSE()))),AND(G31&lt;&gt;"",ISERROR(VLOOKUP(VALUE(G31),料金表!$D$6:$E$8,2,FALSE()))),AND(H31&lt;&gt;"",ISERROR(VLOOKUP(H31,料金表!$G$6:$H$8,2,FALSE())))),"要確認",IF(F31="",0,VLOOKUP(VALUE(F31),料金表!$A$6:$B$8,2,FALSE()))+IF(G31="",0,VLOOKUP(VALUE(G31),料金表!$D$6:$E$8,2,FALSE()))+IF(H31="",0,VLOOKUP(H31,料金表!$G$6:$H$8,2,FALSE()))))</f>
        <v/>
      </c>
      <c r="L31" s="8" t="str">
        <f t="shared" si="2"/>
        <v/>
      </c>
      <c r="M31" s="1" t="str">
        <f t="shared" si="3"/>
        <v/>
      </c>
    </row>
    <row r="32" spans="1:13" ht="27" customHeight="1">
      <c r="A32" s="8" t="str">
        <f t="shared" si="0"/>
        <v/>
      </c>
      <c r="B32" s="13"/>
      <c r="C32" s="13"/>
      <c r="D32" s="13"/>
      <c r="E32" s="9" t="str">
        <f t="shared" si="1"/>
        <v/>
      </c>
      <c r="F32" s="14"/>
      <c r="G32" s="14"/>
      <c r="H32" s="14"/>
      <c r="I32" s="14"/>
      <c r="J32" s="14"/>
      <c r="K32" s="10" t="str">
        <f>IF(COUNTA(B32:D32,F32:J32)=0,"",IF(OR(AND(F32&lt;&gt;"",ISERROR(VLOOKUP(VALUE(F32),料金表!$A$6:$B$8,2,FALSE()))),AND(G32&lt;&gt;"",ISERROR(VLOOKUP(VALUE(G32),料金表!$D$6:$E$8,2,FALSE()))),AND(H32&lt;&gt;"",ISERROR(VLOOKUP(H32,料金表!$G$6:$H$8,2,FALSE())))),"要確認",IF(F32="",0,VLOOKUP(VALUE(F32),料金表!$A$6:$B$8,2,FALSE()))+IF(G32="",0,VLOOKUP(VALUE(G32),料金表!$D$6:$E$8,2,FALSE()))+IF(H32="",0,VLOOKUP(H32,料金表!$G$6:$H$8,2,FALSE()))))</f>
        <v/>
      </c>
      <c r="L32" s="8" t="str">
        <f t="shared" si="2"/>
        <v/>
      </c>
      <c r="M32" s="1" t="str">
        <f t="shared" si="3"/>
        <v/>
      </c>
    </row>
    <row r="33" spans="1:13" ht="27" customHeight="1">
      <c r="A33" s="8" t="str">
        <f t="shared" si="0"/>
        <v/>
      </c>
      <c r="B33" s="13"/>
      <c r="C33" s="13"/>
      <c r="D33" s="13"/>
      <c r="E33" s="9" t="str">
        <f t="shared" si="1"/>
        <v/>
      </c>
      <c r="F33" s="14"/>
      <c r="G33" s="14"/>
      <c r="H33" s="14"/>
      <c r="I33" s="14"/>
      <c r="J33" s="14"/>
      <c r="K33" s="10" t="str">
        <f>IF(COUNTA(B33:D33,F33:J33)=0,"",IF(OR(AND(F33&lt;&gt;"",ISERROR(VLOOKUP(VALUE(F33),料金表!$A$6:$B$8,2,FALSE()))),AND(G33&lt;&gt;"",ISERROR(VLOOKUP(VALUE(G33),料金表!$D$6:$E$8,2,FALSE()))),AND(H33&lt;&gt;"",ISERROR(VLOOKUP(H33,料金表!$G$6:$H$8,2,FALSE())))),"要確認",IF(F33="",0,VLOOKUP(VALUE(F33),料金表!$A$6:$B$8,2,FALSE()))+IF(G33="",0,VLOOKUP(VALUE(G33),料金表!$D$6:$E$8,2,FALSE()))+IF(H33="",0,VLOOKUP(H33,料金表!$G$6:$H$8,2,FALSE()))))</f>
        <v/>
      </c>
      <c r="L33" s="8" t="str">
        <f t="shared" si="2"/>
        <v/>
      </c>
      <c r="M33" s="1" t="str">
        <f t="shared" si="3"/>
        <v/>
      </c>
    </row>
    <row r="34" spans="1:13" ht="27" customHeight="1">
      <c r="A34" s="8" t="str">
        <f t="shared" si="0"/>
        <v/>
      </c>
      <c r="B34" s="13"/>
      <c r="C34" s="13"/>
      <c r="D34" s="13"/>
      <c r="E34" s="9" t="str">
        <f t="shared" si="1"/>
        <v/>
      </c>
      <c r="F34" s="14"/>
      <c r="G34" s="14"/>
      <c r="H34" s="14"/>
      <c r="I34" s="14"/>
      <c r="J34" s="14"/>
      <c r="K34" s="10" t="str">
        <f>IF(COUNTA(B34:D34,F34:J34)=0,"",IF(OR(AND(F34&lt;&gt;"",ISERROR(VLOOKUP(VALUE(F34),料金表!$A$6:$B$8,2,FALSE()))),AND(G34&lt;&gt;"",ISERROR(VLOOKUP(VALUE(G34),料金表!$D$6:$E$8,2,FALSE()))),AND(H34&lt;&gt;"",ISERROR(VLOOKUP(H34,料金表!$G$6:$H$8,2,FALSE())))),"要確認",IF(F34="",0,VLOOKUP(VALUE(F34),料金表!$A$6:$B$8,2,FALSE()))+IF(G34="",0,VLOOKUP(VALUE(G34),料金表!$D$6:$E$8,2,FALSE()))+IF(H34="",0,VLOOKUP(H34,料金表!$G$6:$H$8,2,FALSE()))))</f>
        <v/>
      </c>
      <c r="L34" s="8" t="str">
        <f t="shared" si="2"/>
        <v/>
      </c>
      <c r="M34" s="1" t="str">
        <f t="shared" si="3"/>
        <v/>
      </c>
    </row>
    <row r="35" spans="1:13" ht="27" customHeight="1">
      <c r="A35" s="8" t="str">
        <f t="shared" si="0"/>
        <v/>
      </c>
      <c r="B35" s="13"/>
      <c r="C35" s="13"/>
      <c r="D35" s="13"/>
      <c r="E35" s="9" t="str">
        <f t="shared" si="1"/>
        <v/>
      </c>
      <c r="F35" s="14"/>
      <c r="G35" s="14"/>
      <c r="H35" s="14"/>
      <c r="I35" s="14"/>
      <c r="J35" s="14"/>
      <c r="K35" s="10" t="str">
        <f>IF(COUNTA(B35:D35,F35:J35)=0,"",IF(OR(AND(F35&lt;&gt;"",ISERROR(VLOOKUP(VALUE(F35),料金表!$A$6:$B$8,2,FALSE()))),AND(G35&lt;&gt;"",ISERROR(VLOOKUP(VALUE(G35),料金表!$D$6:$E$8,2,FALSE()))),AND(H35&lt;&gt;"",ISERROR(VLOOKUP(H35,料金表!$G$6:$H$8,2,FALSE())))),"要確認",IF(F35="",0,VLOOKUP(VALUE(F35),料金表!$A$6:$B$8,2,FALSE()))+IF(G35="",0,VLOOKUP(VALUE(G35),料金表!$D$6:$E$8,2,FALSE()))+IF(H35="",0,VLOOKUP(H35,料金表!$G$6:$H$8,2,FALSE()))))</f>
        <v/>
      </c>
      <c r="L35" s="8" t="str">
        <f t="shared" si="2"/>
        <v/>
      </c>
      <c r="M35" s="1" t="str">
        <f t="shared" si="3"/>
        <v/>
      </c>
    </row>
    <row r="36" spans="1:13" ht="27" customHeight="1">
      <c r="A36" s="8" t="str">
        <f t="shared" si="0"/>
        <v/>
      </c>
      <c r="B36" s="13"/>
      <c r="C36" s="13"/>
      <c r="D36" s="13"/>
      <c r="E36" s="9" t="str">
        <f t="shared" si="1"/>
        <v/>
      </c>
      <c r="F36" s="14"/>
      <c r="G36" s="14"/>
      <c r="H36" s="14"/>
      <c r="I36" s="14"/>
      <c r="J36" s="14"/>
      <c r="K36" s="10" t="str">
        <f>IF(COUNTA(B36:D36,F36:J36)=0,"",IF(OR(AND(F36&lt;&gt;"",ISERROR(VLOOKUP(VALUE(F36),料金表!$A$6:$B$8,2,FALSE()))),AND(G36&lt;&gt;"",ISERROR(VLOOKUP(VALUE(G36),料金表!$D$6:$E$8,2,FALSE()))),AND(H36&lt;&gt;"",ISERROR(VLOOKUP(H36,料金表!$G$6:$H$8,2,FALSE())))),"要確認",IF(F36="",0,VLOOKUP(VALUE(F36),料金表!$A$6:$B$8,2,FALSE()))+IF(G36="",0,VLOOKUP(VALUE(G36),料金表!$D$6:$E$8,2,FALSE()))+IF(H36="",0,VLOOKUP(H36,料金表!$G$6:$H$8,2,FALSE()))))</f>
        <v/>
      </c>
      <c r="L36" s="8" t="str">
        <f t="shared" si="2"/>
        <v/>
      </c>
      <c r="M36" s="1" t="str">
        <f t="shared" si="3"/>
        <v/>
      </c>
    </row>
    <row r="37" spans="1:13" ht="27" customHeight="1">
      <c r="A37" s="8" t="str">
        <f t="shared" si="0"/>
        <v/>
      </c>
      <c r="B37" s="13"/>
      <c r="C37" s="13"/>
      <c r="D37" s="13"/>
      <c r="E37" s="9" t="str">
        <f t="shared" si="1"/>
        <v/>
      </c>
      <c r="F37" s="14"/>
      <c r="G37" s="14"/>
      <c r="H37" s="14"/>
      <c r="I37" s="14"/>
      <c r="J37" s="14"/>
      <c r="K37" s="10" t="str">
        <f>IF(COUNTA(B37:D37,F37:J37)=0,"",IF(OR(AND(F37&lt;&gt;"",ISERROR(VLOOKUP(VALUE(F37),料金表!$A$6:$B$8,2,FALSE()))),AND(G37&lt;&gt;"",ISERROR(VLOOKUP(VALUE(G37),料金表!$D$6:$E$8,2,FALSE()))),AND(H37&lt;&gt;"",ISERROR(VLOOKUP(H37,料金表!$G$6:$H$8,2,FALSE())))),"要確認",IF(F37="",0,VLOOKUP(VALUE(F37),料金表!$A$6:$B$8,2,FALSE()))+IF(G37="",0,VLOOKUP(VALUE(G37),料金表!$D$6:$E$8,2,FALSE()))+IF(H37="",0,VLOOKUP(H37,料金表!$G$6:$H$8,2,FALSE()))))</f>
        <v/>
      </c>
      <c r="L37" s="8" t="str">
        <f t="shared" si="2"/>
        <v/>
      </c>
      <c r="M37" s="1" t="str">
        <f t="shared" si="3"/>
        <v/>
      </c>
    </row>
    <row r="38" spans="1:13" ht="27" customHeight="1">
      <c r="A38" s="8" t="str">
        <f t="shared" si="0"/>
        <v/>
      </c>
      <c r="B38" s="13"/>
      <c r="C38" s="13"/>
      <c r="D38" s="13"/>
      <c r="E38" s="9" t="str">
        <f t="shared" si="1"/>
        <v/>
      </c>
      <c r="F38" s="14"/>
      <c r="G38" s="14"/>
      <c r="H38" s="14"/>
      <c r="I38" s="14"/>
      <c r="J38" s="14"/>
      <c r="K38" s="10" t="str">
        <f>IF(COUNTA(B38:D38,F38:J38)=0,"",IF(OR(AND(F38&lt;&gt;"",ISERROR(VLOOKUP(VALUE(F38),料金表!$A$6:$B$8,2,FALSE()))),AND(G38&lt;&gt;"",ISERROR(VLOOKUP(VALUE(G38),料金表!$D$6:$E$8,2,FALSE()))),AND(H38&lt;&gt;"",ISERROR(VLOOKUP(H38,料金表!$G$6:$H$8,2,FALSE())))),"要確認",IF(F38="",0,VLOOKUP(VALUE(F38),料金表!$A$6:$B$8,2,FALSE()))+IF(G38="",0,VLOOKUP(VALUE(G38),料金表!$D$6:$E$8,2,FALSE()))+IF(H38="",0,VLOOKUP(H38,料金表!$G$6:$H$8,2,FALSE()))))</f>
        <v/>
      </c>
      <c r="L38" s="8" t="str">
        <f t="shared" si="2"/>
        <v/>
      </c>
      <c r="M38" s="1" t="str">
        <f t="shared" si="3"/>
        <v/>
      </c>
    </row>
    <row r="39" spans="1:13" ht="27" customHeight="1">
      <c r="A39" s="8" t="str">
        <f t="shared" si="0"/>
        <v/>
      </c>
      <c r="B39" s="13"/>
      <c r="C39" s="13"/>
      <c r="D39" s="13"/>
      <c r="E39" s="9" t="str">
        <f t="shared" si="1"/>
        <v/>
      </c>
      <c r="F39" s="14"/>
      <c r="G39" s="14"/>
      <c r="H39" s="14"/>
      <c r="I39" s="14"/>
      <c r="J39" s="14"/>
      <c r="K39" s="10" t="str">
        <f>IF(COUNTA(B39:D39,F39:J39)=0,"",IF(OR(AND(F39&lt;&gt;"",ISERROR(VLOOKUP(VALUE(F39),料金表!$A$6:$B$8,2,FALSE()))),AND(G39&lt;&gt;"",ISERROR(VLOOKUP(VALUE(G39),料金表!$D$6:$E$8,2,FALSE()))),AND(H39&lt;&gt;"",ISERROR(VLOOKUP(H39,料金表!$G$6:$H$8,2,FALSE())))),"要確認",IF(F39="",0,VLOOKUP(VALUE(F39),料金表!$A$6:$B$8,2,FALSE()))+IF(G39="",0,VLOOKUP(VALUE(G39),料金表!$D$6:$E$8,2,FALSE()))+IF(H39="",0,VLOOKUP(H39,料金表!$G$6:$H$8,2,FALSE()))))</f>
        <v/>
      </c>
      <c r="L39" s="8" t="str">
        <f t="shared" si="2"/>
        <v/>
      </c>
      <c r="M39" s="1" t="str">
        <f t="shared" si="3"/>
        <v/>
      </c>
    </row>
    <row r="40" spans="1:13" ht="27" customHeight="1">
      <c r="A40" s="8" t="str">
        <f t="shared" si="0"/>
        <v/>
      </c>
      <c r="B40" s="13"/>
      <c r="C40" s="13"/>
      <c r="D40" s="13"/>
      <c r="E40" s="9" t="str">
        <f t="shared" si="1"/>
        <v/>
      </c>
      <c r="F40" s="14"/>
      <c r="G40" s="14"/>
      <c r="H40" s="14"/>
      <c r="I40" s="14"/>
      <c r="J40" s="14"/>
      <c r="K40" s="10" t="str">
        <f>IF(COUNTA(B40:D40,F40:J40)=0,"",IF(OR(AND(F40&lt;&gt;"",ISERROR(VLOOKUP(VALUE(F40),料金表!$A$6:$B$8,2,FALSE()))),AND(G40&lt;&gt;"",ISERROR(VLOOKUP(VALUE(G40),料金表!$D$6:$E$8,2,FALSE()))),AND(H40&lt;&gt;"",ISERROR(VLOOKUP(H40,料金表!$G$6:$H$8,2,FALSE())))),"要確認",IF(F40="",0,VLOOKUP(VALUE(F40),料金表!$A$6:$B$8,2,FALSE()))+IF(G40="",0,VLOOKUP(VALUE(G40),料金表!$D$6:$E$8,2,FALSE()))+IF(H40="",0,VLOOKUP(H40,料金表!$G$6:$H$8,2,FALSE()))))</f>
        <v/>
      </c>
      <c r="L40" s="8" t="str">
        <f t="shared" si="2"/>
        <v/>
      </c>
      <c r="M40" s="1" t="str">
        <f t="shared" si="3"/>
        <v/>
      </c>
    </row>
    <row r="41" spans="1:13" ht="27" customHeight="1">
      <c r="A41" s="8" t="str">
        <f t="shared" si="0"/>
        <v/>
      </c>
      <c r="B41" s="13"/>
      <c r="C41" s="13"/>
      <c r="D41" s="13"/>
      <c r="E41" s="9" t="str">
        <f t="shared" si="1"/>
        <v/>
      </c>
      <c r="F41" s="14"/>
      <c r="G41" s="14"/>
      <c r="H41" s="14"/>
      <c r="I41" s="14"/>
      <c r="J41" s="14"/>
      <c r="K41" s="10" t="str">
        <f>IF(COUNTA(B41:D41,F41:J41)=0,"",IF(OR(AND(F41&lt;&gt;"",ISERROR(VLOOKUP(VALUE(F41),料金表!$A$6:$B$8,2,FALSE()))),AND(G41&lt;&gt;"",ISERROR(VLOOKUP(VALUE(G41),料金表!$D$6:$E$8,2,FALSE()))),AND(H41&lt;&gt;"",ISERROR(VLOOKUP(H41,料金表!$G$6:$H$8,2,FALSE())))),"要確認",IF(F41="",0,VLOOKUP(VALUE(F41),料金表!$A$6:$B$8,2,FALSE()))+IF(G41="",0,VLOOKUP(VALUE(G41),料金表!$D$6:$E$8,2,FALSE()))+IF(H41="",0,VLOOKUP(H41,料金表!$G$6:$H$8,2,FALSE()))))</f>
        <v/>
      </c>
      <c r="L41" s="8" t="str">
        <f t="shared" si="2"/>
        <v/>
      </c>
      <c r="M41" s="1" t="str">
        <f t="shared" si="3"/>
        <v/>
      </c>
    </row>
    <row r="42" spans="1:13" ht="27" customHeight="1">
      <c r="A42" s="8" t="str">
        <f t="shared" si="0"/>
        <v/>
      </c>
      <c r="B42" s="13"/>
      <c r="C42" s="13"/>
      <c r="D42" s="13"/>
      <c r="E42" s="9" t="str">
        <f t="shared" si="1"/>
        <v/>
      </c>
      <c r="F42" s="14"/>
      <c r="G42" s="14"/>
      <c r="H42" s="14"/>
      <c r="I42" s="14"/>
      <c r="J42" s="14"/>
      <c r="K42" s="10" t="str">
        <f>IF(COUNTA(B42:D42,F42:J42)=0,"",IF(OR(AND(F42&lt;&gt;"",ISERROR(VLOOKUP(VALUE(F42),料金表!$A$6:$B$8,2,FALSE()))),AND(G42&lt;&gt;"",ISERROR(VLOOKUP(VALUE(G42),料金表!$D$6:$E$8,2,FALSE()))),AND(H42&lt;&gt;"",ISERROR(VLOOKUP(H42,料金表!$G$6:$H$8,2,FALSE())))),"要確認",IF(F42="",0,VLOOKUP(VALUE(F42),料金表!$A$6:$B$8,2,FALSE()))+IF(G42="",0,VLOOKUP(VALUE(G42),料金表!$D$6:$E$8,2,FALSE()))+IF(H42="",0,VLOOKUP(H42,料金表!$G$6:$H$8,2,FALSE()))))</f>
        <v/>
      </c>
      <c r="L42" s="8" t="str">
        <f t="shared" si="2"/>
        <v/>
      </c>
      <c r="M42" s="1" t="str">
        <f t="shared" si="3"/>
        <v/>
      </c>
    </row>
    <row r="43" spans="1:13" ht="27" customHeight="1">
      <c r="A43" s="8" t="str">
        <f t="shared" si="0"/>
        <v/>
      </c>
      <c r="B43" s="13"/>
      <c r="C43" s="13"/>
      <c r="D43" s="13"/>
      <c r="E43" s="9" t="str">
        <f t="shared" si="1"/>
        <v/>
      </c>
      <c r="F43" s="14"/>
      <c r="G43" s="14"/>
      <c r="H43" s="14"/>
      <c r="I43" s="14"/>
      <c r="J43" s="14"/>
      <c r="K43" s="10" t="str">
        <f>IF(COUNTA(B43:D43,F43:J43)=0,"",IF(OR(AND(F43&lt;&gt;"",ISERROR(VLOOKUP(VALUE(F43),料金表!$A$6:$B$8,2,FALSE()))),AND(G43&lt;&gt;"",ISERROR(VLOOKUP(VALUE(G43),料金表!$D$6:$E$8,2,FALSE()))),AND(H43&lt;&gt;"",ISERROR(VLOOKUP(H43,料金表!$G$6:$H$8,2,FALSE())))),"要確認",IF(F43="",0,VLOOKUP(VALUE(F43),料金表!$A$6:$B$8,2,FALSE()))+IF(G43="",0,VLOOKUP(VALUE(G43),料金表!$D$6:$E$8,2,FALSE()))+IF(H43="",0,VLOOKUP(H43,料金表!$G$6:$H$8,2,FALSE()))))</f>
        <v/>
      </c>
      <c r="L43" s="8" t="str">
        <f t="shared" si="2"/>
        <v/>
      </c>
      <c r="M43" s="1" t="str">
        <f t="shared" si="3"/>
        <v/>
      </c>
    </row>
    <row r="44" spans="1:13" ht="27" customHeight="1">
      <c r="A44" s="8" t="str">
        <f t="shared" si="0"/>
        <v/>
      </c>
      <c r="B44" s="13"/>
      <c r="C44" s="13"/>
      <c r="D44" s="13"/>
      <c r="E44" s="9" t="str">
        <f t="shared" si="1"/>
        <v/>
      </c>
      <c r="F44" s="14"/>
      <c r="G44" s="14"/>
      <c r="H44" s="14"/>
      <c r="I44" s="14"/>
      <c r="J44" s="14"/>
      <c r="K44" s="10" t="str">
        <f>IF(COUNTA(B44:D44,F44:J44)=0,"",IF(OR(AND(F44&lt;&gt;"",ISERROR(VLOOKUP(VALUE(F44),料金表!$A$6:$B$8,2,FALSE()))),AND(G44&lt;&gt;"",ISERROR(VLOOKUP(VALUE(G44),料金表!$D$6:$E$8,2,FALSE()))),AND(H44&lt;&gt;"",ISERROR(VLOOKUP(H44,料金表!$G$6:$H$8,2,FALSE())))),"要確認",IF(F44="",0,VLOOKUP(VALUE(F44),料金表!$A$6:$B$8,2,FALSE()))+IF(G44="",0,VLOOKUP(VALUE(G44),料金表!$D$6:$E$8,2,FALSE()))+IF(H44="",0,VLOOKUP(H44,料金表!$G$6:$H$8,2,FALSE()))))</f>
        <v/>
      </c>
      <c r="L44" s="8" t="str">
        <f t="shared" si="2"/>
        <v/>
      </c>
      <c r="M44" s="1" t="str">
        <f t="shared" si="3"/>
        <v/>
      </c>
    </row>
    <row r="45" spans="1:13" ht="27" customHeight="1">
      <c r="A45" s="8" t="str">
        <f t="shared" ref="A45:A76" si="4">IF(COUNTA(B45:D45,F45:J45)=0,"",ROW()-12)</f>
        <v/>
      </c>
      <c r="B45" s="13"/>
      <c r="C45" s="13"/>
      <c r="D45" s="13"/>
      <c r="E45" s="9" t="str">
        <f t="shared" ref="E45:E76" si="5">IF(COUNTA(B45:D45,F45:J45)=0,"",IF(COUNTA($C$4)=0,"",$C$4))</f>
        <v/>
      </c>
      <c r="F45" s="14"/>
      <c r="G45" s="14"/>
      <c r="H45" s="14"/>
      <c r="I45" s="14"/>
      <c r="J45" s="14"/>
      <c r="K45" s="10" t="str">
        <f>IF(COUNTA(B45:D45,F45:J45)=0,"",IF(OR(AND(F45&lt;&gt;"",ISERROR(VLOOKUP(VALUE(F45),料金表!$A$6:$B$8,2,FALSE()))),AND(G45&lt;&gt;"",ISERROR(VLOOKUP(VALUE(G45),料金表!$D$6:$E$8,2,FALSE()))),AND(H45&lt;&gt;"",ISERROR(VLOOKUP(H45,料金表!$G$6:$H$8,2,FALSE())))),"要確認",IF(F45="",0,VLOOKUP(VALUE(F45),料金表!$A$6:$B$8,2,FALSE()))+IF(G45="",0,VLOOKUP(VALUE(G45),料金表!$D$6:$E$8,2,FALSE()))+IF(H45="",0,VLOOKUP(H45,料金表!$G$6:$H$8,2,FALSE()))))</f>
        <v/>
      </c>
      <c r="L45" s="8" t="str">
        <f t="shared" ref="L45:L76" si="6">IF(COUNTA(B45:D45,F45:J45)=0,"",IF(OR(B45="",C45="",D45=""),"要確認：氏名・カナ・生年月日",IF(NOT(AND(ISTEXT(B45),LEN(B45)-LEN(SUBSTITUTE(B45," ",""))=1,LEFT(B45,1)&lt;&gt;" ",RIGHT(B45,1)&lt;&gt;" ",ISERROR(SEARCH("　",B45)))),"要確認：姓と名に半角スペース",IF(NOT(IFERROR(AND(ISTEXT(D45),LEN(D45)&gt;=8,LEN(D45)&lt;=10,MID(D45,5,1)="/",LEN(D45)-LEN(SUBSTITUTE(D45,"/",""))=2,FIND("/",D45,6)&gt;=7,FIND("/",D45,6)&lt;=8,LEN(D45)-FIND("/",D45,6)&gt;=1,LEN(D45)-FIND("/",D45,6)&lt;=2,YEAR(DATE(VALUE(LEFT(D45,4)),VALUE(MID(D45,6,FIND("/",D45,6)-6)),VALUE(MID(D45,FIND("/",D45,6)+1,2))))=VALUE(LEFT(D45,4)),MONTH(DATE(VALUE(LEFT(D45,4)),VALUE(MID(D45,6,FIND("/",D45,6)-6)),VALUE(MID(D45,FIND("/",D45,6)+1,2))))=VALUE(MID(D45,6,FIND("/",D45,6)-6)),DAY(DATE(VALUE(LEFT(D45,4)),VALUE(MID(D45,6,FIND("/",D45,6)-6)),VALUE(MID(D45,FIND("/",D45,6)+1,2))))=VALUE(MID(D45,FIND("/",D45,6)+1,2)),DATE(VALUE(LEFT(D45,4)),VALUE(MID(D45,6,FIND("/",D45,6)-6)),VALUE(MID(D45,FIND("/",D45,6)+1,2)))&gt;=DATE(1900,1,1),DATE(VALUE(LEFT(D45,4)),VALUE(MID(D45,6,FIND("/",D45,6)-6)),VALUE(MID(D45,FIND("/",D45,6)+1,2)))&lt;=$B$3,NOT(AND(VALUE(LEFT(D45,4))=1900,VALUE(MID(D45,6,FIND("/",D45,6)-6))=2,VALUE(MID(D45,FIND("/",D45,6)+1,2))=29))),FALSE())),"要確認：生年月日は西暦/月/日",IF(COUNTA(F45:H45)=0,"要確認：受験種目",IF(NOT(ISNUMBER(K45)),"要確認：級・段位",IF(AND(I45&lt;&gt;"",NOT(OR(I45="未確認",I45="はい",I45="いいえ"))),"要確認：初受験",IF(OR(AND(F45&lt;&gt;"",COUNTIFS($B$13:$B$212,B45,$M$13:$M$212,M45,$F$13:$F$212,F45)&gt;1),AND(G45&lt;&gt;"",COUNTIFS($B$13:$B$212,B45,$M$13:$M$212,M45,$G$13:$G$212,G45)&gt;1),AND(H45&lt;&gt;"",COUNTIFS($B$13:$B$212,B45,$M$13:$M$212,M45,$H$13:$H$212,H45)&gt;1)),"要確認：同じ種目・級が重複",""))))))))</f>
        <v/>
      </c>
      <c r="M45" s="1" t="str">
        <f t="shared" ref="M45:M76" si="7">IF(D45="","",IFERROR(DATE(VALUE(LEFT(D45,4)),VALUE(MID(D45,6,FIND("/",D45,6)-6)),VALUE(MID(D45,FIND("/",D45,6)+1,2))),""))</f>
        <v/>
      </c>
    </row>
    <row r="46" spans="1:13" ht="27" customHeight="1">
      <c r="A46" s="8" t="str">
        <f t="shared" si="4"/>
        <v/>
      </c>
      <c r="B46" s="13"/>
      <c r="C46" s="13"/>
      <c r="D46" s="13"/>
      <c r="E46" s="9" t="str">
        <f t="shared" si="5"/>
        <v/>
      </c>
      <c r="F46" s="14"/>
      <c r="G46" s="14"/>
      <c r="H46" s="14"/>
      <c r="I46" s="14"/>
      <c r="J46" s="14"/>
      <c r="K46" s="10" t="str">
        <f>IF(COUNTA(B46:D46,F46:J46)=0,"",IF(OR(AND(F46&lt;&gt;"",ISERROR(VLOOKUP(VALUE(F46),料金表!$A$6:$B$8,2,FALSE()))),AND(G46&lt;&gt;"",ISERROR(VLOOKUP(VALUE(G46),料金表!$D$6:$E$8,2,FALSE()))),AND(H46&lt;&gt;"",ISERROR(VLOOKUP(H46,料金表!$G$6:$H$8,2,FALSE())))),"要確認",IF(F46="",0,VLOOKUP(VALUE(F46),料金表!$A$6:$B$8,2,FALSE()))+IF(G46="",0,VLOOKUP(VALUE(G46),料金表!$D$6:$E$8,2,FALSE()))+IF(H46="",0,VLOOKUP(H46,料金表!$G$6:$H$8,2,FALSE()))))</f>
        <v/>
      </c>
      <c r="L46" s="8" t="str">
        <f t="shared" si="6"/>
        <v/>
      </c>
      <c r="M46" s="1" t="str">
        <f t="shared" si="7"/>
        <v/>
      </c>
    </row>
    <row r="47" spans="1:13" ht="27" customHeight="1">
      <c r="A47" s="8" t="str">
        <f t="shared" si="4"/>
        <v/>
      </c>
      <c r="B47" s="13"/>
      <c r="C47" s="13"/>
      <c r="D47" s="13"/>
      <c r="E47" s="9" t="str">
        <f t="shared" si="5"/>
        <v/>
      </c>
      <c r="F47" s="14"/>
      <c r="G47" s="14"/>
      <c r="H47" s="14"/>
      <c r="I47" s="14"/>
      <c r="J47" s="14"/>
      <c r="K47" s="10" t="str">
        <f>IF(COUNTA(B47:D47,F47:J47)=0,"",IF(OR(AND(F47&lt;&gt;"",ISERROR(VLOOKUP(VALUE(F47),料金表!$A$6:$B$8,2,FALSE()))),AND(G47&lt;&gt;"",ISERROR(VLOOKUP(VALUE(G47),料金表!$D$6:$E$8,2,FALSE()))),AND(H47&lt;&gt;"",ISERROR(VLOOKUP(H47,料金表!$G$6:$H$8,2,FALSE())))),"要確認",IF(F47="",0,VLOOKUP(VALUE(F47),料金表!$A$6:$B$8,2,FALSE()))+IF(G47="",0,VLOOKUP(VALUE(G47),料金表!$D$6:$E$8,2,FALSE()))+IF(H47="",0,VLOOKUP(H47,料金表!$G$6:$H$8,2,FALSE()))))</f>
        <v/>
      </c>
      <c r="L47" s="8" t="str">
        <f t="shared" si="6"/>
        <v/>
      </c>
      <c r="M47" s="1" t="str">
        <f t="shared" si="7"/>
        <v/>
      </c>
    </row>
    <row r="48" spans="1:13" ht="27" customHeight="1">
      <c r="A48" s="8" t="str">
        <f t="shared" si="4"/>
        <v/>
      </c>
      <c r="B48" s="13"/>
      <c r="C48" s="13"/>
      <c r="D48" s="13"/>
      <c r="E48" s="9" t="str">
        <f t="shared" si="5"/>
        <v/>
      </c>
      <c r="F48" s="14"/>
      <c r="G48" s="14"/>
      <c r="H48" s="14"/>
      <c r="I48" s="14"/>
      <c r="J48" s="14"/>
      <c r="K48" s="10" t="str">
        <f>IF(COUNTA(B48:D48,F48:J48)=0,"",IF(OR(AND(F48&lt;&gt;"",ISERROR(VLOOKUP(VALUE(F48),料金表!$A$6:$B$8,2,FALSE()))),AND(G48&lt;&gt;"",ISERROR(VLOOKUP(VALUE(G48),料金表!$D$6:$E$8,2,FALSE()))),AND(H48&lt;&gt;"",ISERROR(VLOOKUP(H48,料金表!$G$6:$H$8,2,FALSE())))),"要確認",IF(F48="",0,VLOOKUP(VALUE(F48),料金表!$A$6:$B$8,2,FALSE()))+IF(G48="",0,VLOOKUP(VALUE(G48),料金表!$D$6:$E$8,2,FALSE()))+IF(H48="",0,VLOOKUP(H48,料金表!$G$6:$H$8,2,FALSE()))))</f>
        <v/>
      </c>
      <c r="L48" s="8" t="str">
        <f t="shared" si="6"/>
        <v/>
      </c>
      <c r="M48" s="1" t="str">
        <f t="shared" si="7"/>
        <v/>
      </c>
    </row>
    <row r="49" spans="1:13" ht="27" customHeight="1">
      <c r="A49" s="8" t="str">
        <f t="shared" si="4"/>
        <v/>
      </c>
      <c r="B49" s="13"/>
      <c r="C49" s="13"/>
      <c r="D49" s="13"/>
      <c r="E49" s="9" t="str">
        <f t="shared" si="5"/>
        <v/>
      </c>
      <c r="F49" s="14"/>
      <c r="G49" s="14"/>
      <c r="H49" s="14"/>
      <c r="I49" s="14"/>
      <c r="J49" s="14"/>
      <c r="K49" s="10" t="str">
        <f>IF(COUNTA(B49:D49,F49:J49)=0,"",IF(OR(AND(F49&lt;&gt;"",ISERROR(VLOOKUP(VALUE(F49),料金表!$A$6:$B$8,2,FALSE()))),AND(G49&lt;&gt;"",ISERROR(VLOOKUP(VALUE(G49),料金表!$D$6:$E$8,2,FALSE()))),AND(H49&lt;&gt;"",ISERROR(VLOOKUP(H49,料金表!$G$6:$H$8,2,FALSE())))),"要確認",IF(F49="",0,VLOOKUP(VALUE(F49),料金表!$A$6:$B$8,2,FALSE()))+IF(G49="",0,VLOOKUP(VALUE(G49),料金表!$D$6:$E$8,2,FALSE()))+IF(H49="",0,VLOOKUP(H49,料金表!$G$6:$H$8,2,FALSE()))))</f>
        <v/>
      </c>
      <c r="L49" s="8" t="str">
        <f t="shared" si="6"/>
        <v/>
      </c>
      <c r="M49" s="1" t="str">
        <f t="shared" si="7"/>
        <v/>
      </c>
    </row>
    <row r="50" spans="1:13" ht="27" customHeight="1">
      <c r="A50" s="8" t="str">
        <f t="shared" si="4"/>
        <v/>
      </c>
      <c r="B50" s="13"/>
      <c r="C50" s="13"/>
      <c r="D50" s="13"/>
      <c r="E50" s="9" t="str">
        <f t="shared" si="5"/>
        <v/>
      </c>
      <c r="F50" s="14"/>
      <c r="G50" s="14"/>
      <c r="H50" s="14"/>
      <c r="I50" s="14"/>
      <c r="J50" s="14"/>
      <c r="K50" s="10" t="str">
        <f>IF(COUNTA(B50:D50,F50:J50)=0,"",IF(OR(AND(F50&lt;&gt;"",ISERROR(VLOOKUP(VALUE(F50),料金表!$A$6:$B$8,2,FALSE()))),AND(G50&lt;&gt;"",ISERROR(VLOOKUP(VALUE(G50),料金表!$D$6:$E$8,2,FALSE()))),AND(H50&lt;&gt;"",ISERROR(VLOOKUP(H50,料金表!$G$6:$H$8,2,FALSE())))),"要確認",IF(F50="",0,VLOOKUP(VALUE(F50),料金表!$A$6:$B$8,2,FALSE()))+IF(G50="",0,VLOOKUP(VALUE(G50),料金表!$D$6:$E$8,2,FALSE()))+IF(H50="",0,VLOOKUP(H50,料金表!$G$6:$H$8,2,FALSE()))))</f>
        <v/>
      </c>
      <c r="L50" s="8" t="str">
        <f t="shared" si="6"/>
        <v/>
      </c>
      <c r="M50" s="1" t="str">
        <f t="shared" si="7"/>
        <v/>
      </c>
    </row>
    <row r="51" spans="1:13" ht="27" customHeight="1">
      <c r="A51" s="8" t="str">
        <f t="shared" si="4"/>
        <v/>
      </c>
      <c r="B51" s="13"/>
      <c r="C51" s="13"/>
      <c r="D51" s="13"/>
      <c r="E51" s="9" t="str">
        <f t="shared" si="5"/>
        <v/>
      </c>
      <c r="F51" s="14"/>
      <c r="G51" s="14"/>
      <c r="H51" s="14"/>
      <c r="I51" s="14"/>
      <c r="J51" s="14"/>
      <c r="K51" s="10" t="str">
        <f>IF(COUNTA(B51:D51,F51:J51)=0,"",IF(OR(AND(F51&lt;&gt;"",ISERROR(VLOOKUP(VALUE(F51),料金表!$A$6:$B$8,2,FALSE()))),AND(G51&lt;&gt;"",ISERROR(VLOOKUP(VALUE(G51),料金表!$D$6:$E$8,2,FALSE()))),AND(H51&lt;&gt;"",ISERROR(VLOOKUP(H51,料金表!$G$6:$H$8,2,FALSE())))),"要確認",IF(F51="",0,VLOOKUP(VALUE(F51),料金表!$A$6:$B$8,2,FALSE()))+IF(G51="",0,VLOOKUP(VALUE(G51),料金表!$D$6:$E$8,2,FALSE()))+IF(H51="",0,VLOOKUP(H51,料金表!$G$6:$H$8,2,FALSE()))))</f>
        <v/>
      </c>
      <c r="L51" s="8" t="str">
        <f t="shared" si="6"/>
        <v/>
      </c>
      <c r="M51" s="1" t="str">
        <f t="shared" si="7"/>
        <v/>
      </c>
    </row>
    <row r="52" spans="1:13" ht="27" customHeight="1">
      <c r="A52" s="8" t="str">
        <f t="shared" si="4"/>
        <v/>
      </c>
      <c r="B52" s="13"/>
      <c r="C52" s="13"/>
      <c r="D52" s="13"/>
      <c r="E52" s="9" t="str">
        <f t="shared" si="5"/>
        <v/>
      </c>
      <c r="F52" s="14"/>
      <c r="G52" s="14"/>
      <c r="H52" s="14"/>
      <c r="I52" s="14"/>
      <c r="J52" s="14"/>
      <c r="K52" s="10" t="str">
        <f>IF(COUNTA(B52:D52,F52:J52)=0,"",IF(OR(AND(F52&lt;&gt;"",ISERROR(VLOOKUP(VALUE(F52),料金表!$A$6:$B$8,2,FALSE()))),AND(G52&lt;&gt;"",ISERROR(VLOOKUP(VALUE(G52),料金表!$D$6:$E$8,2,FALSE()))),AND(H52&lt;&gt;"",ISERROR(VLOOKUP(H52,料金表!$G$6:$H$8,2,FALSE())))),"要確認",IF(F52="",0,VLOOKUP(VALUE(F52),料金表!$A$6:$B$8,2,FALSE()))+IF(G52="",0,VLOOKUP(VALUE(G52),料金表!$D$6:$E$8,2,FALSE()))+IF(H52="",0,VLOOKUP(H52,料金表!$G$6:$H$8,2,FALSE()))))</f>
        <v/>
      </c>
      <c r="L52" s="8" t="str">
        <f t="shared" si="6"/>
        <v/>
      </c>
      <c r="M52" s="1" t="str">
        <f t="shared" si="7"/>
        <v/>
      </c>
    </row>
    <row r="53" spans="1:13" ht="27" customHeight="1">
      <c r="A53" s="8" t="str">
        <f t="shared" si="4"/>
        <v/>
      </c>
      <c r="B53" s="13"/>
      <c r="C53" s="13"/>
      <c r="D53" s="13"/>
      <c r="E53" s="9" t="str">
        <f t="shared" si="5"/>
        <v/>
      </c>
      <c r="F53" s="14"/>
      <c r="G53" s="14"/>
      <c r="H53" s="14"/>
      <c r="I53" s="14"/>
      <c r="J53" s="14"/>
      <c r="K53" s="10" t="str">
        <f>IF(COUNTA(B53:D53,F53:J53)=0,"",IF(OR(AND(F53&lt;&gt;"",ISERROR(VLOOKUP(VALUE(F53),料金表!$A$6:$B$8,2,FALSE()))),AND(G53&lt;&gt;"",ISERROR(VLOOKUP(VALUE(G53),料金表!$D$6:$E$8,2,FALSE()))),AND(H53&lt;&gt;"",ISERROR(VLOOKUP(H53,料金表!$G$6:$H$8,2,FALSE())))),"要確認",IF(F53="",0,VLOOKUP(VALUE(F53),料金表!$A$6:$B$8,2,FALSE()))+IF(G53="",0,VLOOKUP(VALUE(G53),料金表!$D$6:$E$8,2,FALSE()))+IF(H53="",0,VLOOKUP(H53,料金表!$G$6:$H$8,2,FALSE()))))</f>
        <v/>
      </c>
      <c r="L53" s="8" t="str">
        <f t="shared" si="6"/>
        <v/>
      </c>
      <c r="M53" s="1" t="str">
        <f t="shared" si="7"/>
        <v/>
      </c>
    </row>
    <row r="54" spans="1:13" ht="27" customHeight="1">
      <c r="A54" s="8" t="str">
        <f t="shared" si="4"/>
        <v/>
      </c>
      <c r="B54" s="13"/>
      <c r="C54" s="13"/>
      <c r="D54" s="13"/>
      <c r="E54" s="9" t="str">
        <f t="shared" si="5"/>
        <v/>
      </c>
      <c r="F54" s="14"/>
      <c r="G54" s="14"/>
      <c r="H54" s="14"/>
      <c r="I54" s="14"/>
      <c r="J54" s="14"/>
      <c r="K54" s="10" t="str">
        <f>IF(COUNTA(B54:D54,F54:J54)=0,"",IF(OR(AND(F54&lt;&gt;"",ISERROR(VLOOKUP(VALUE(F54),料金表!$A$6:$B$8,2,FALSE()))),AND(G54&lt;&gt;"",ISERROR(VLOOKUP(VALUE(G54),料金表!$D$6:$E$8,2,FALSE()))),AND(H54&lt;&gt;"",ISERROR(VLOOKUP(H54,料金表!$G$6:$H$8,2,FALSE())))),"要確認",IF(F54="",0,VLOOKUP(VALUE(F54),料金表!$A$6:$B$8,2,FALSE()))+IF(G54="",0,VLOOKUP(VALUE(G54),料金表!$D$6:$E$8,2,FALSE()))+IF(H54="",0,VLOOKUP(H54,料金表!$G$6:$H$8,2,FALSE()))))</f>
        <v/>
      </c>
      <c r="L54" s="8" t="str">
        <f t="shared" si="6"/>
        <v/>
      </c>
      <c r="M54" s="1" t="str">
        <f t="shared" si="7"/>
        <v/>
      </c>
    </row>
    <row r="55" spans="1:13" ht="27" customHeight="1">
      <c r="A55" s="8" t="str">
        <f t="shared" si="4"/>
        <v/>
      </c>
      <c r="B55" s="13"/>
      <c r="C55" s="13"/>
      <c r="D55" s="13"/>
      <c r="E55" s="9" t="str">
        <f t="shared" si="5"/>
        <v/>
      </c>
      <c r="F55" s="14"/>
      <c r="G55" s="14"/>
      <c r="H55" s="14"/>
      <c r="I55" s="14"/>
      <c r="J55" s="14"/>
      <c r="K55" s="10" t="str">
        <f>IF(COUNTA(B55:D55,F55:J55)=0,"",IF(OR(AND(F55&lt;&gt;"",ISERROR(VLOOKUP(VALUE(F55),料金表!$A$6:$B$8,2,FALSE()))),AND(G55&lt;&gt;"",ISERROR(VLOOKUP(VALUE(G55),料金表!$D$6:$E$8,2,FALSE()))),AND(H55&lt;&gt;"",ISERROR(VLOOKUP(H55,料金表!$G$6:$H$8,2,FALSE())))),"要確認",IF(F55="",0,VLOOKUP(VALUE(F55),料金表!$A$6:$B$8,2,FALSE()))+IF(G55="",0,VLOOKUP(VALUE(G55),料金表!$D$6:$E$8,2,FALSE()))+IF(H55="",0,VLOOKUP(H55,料金表!$G$6:$H$8,2,FALSE()))))</f>
        <v/>
      </c>
      <c r="L55" s="8" t="str">
        <f t="shared" si="6"/>
        <v/>
      </c>
      <c r="M55" s="1" t="str">
        <f t="shared" si="7"/>
        <v/>
      </c>
    </row>
    <row r="56" spans="1:13" ht="27" customHeight="1">
      <c r="A56" s="8" t="str">
        <f t="shared" si="4"/>
        <v/>
      </c>
      <c r="B56" s="13"/>
      <c r="C56" s="13"/>
      <c r="D56" s="13"/>
      <c r="E56" s="9" t="str">
        <f t="shared" si="5"/>
        <v/>
      </c>
      <c r="F56" s="14"/>
      <c r="G56" s="14"/>
      <c r="H56" s="14"/>
      <c r="I56" s="14"/>
      <c r="J56" s="14"/>
      <c r="K56" s="10" t="str">
        <f>IF(COUNTA(B56:D56,F56:J56)=0,"",IF(OR(AND(F56&lt;&gt;"",ISERROR(VLOOKUP(VALUE(F56),料金表!$A$6:$B$8,2,FALSE()))),AND(G56&lt;&gt;"",ISERROR(VLOOKUP(VALUE(G56),料金表!$D$6:$E$8,2,FALSE()))),AND(H56&lt;&gt;"",ISERROR(VLOOKUP(H56,料金表!$G$6:$H$8,2,FALSE())))),"要確認",IF(F56="",0,VLOOKUP(VALUE(F56),料金表!$A$6:$B$8,2,FALSE()))+IF(G56="",0,VLOOKUP(VALUE(G56),料金表!$D$6:$E$8,2,FALSE()))+IF(H56="",0,VLOOKUP(H56,料金表!$G$6:$H$8,2,FALSE()))))</f>
        <v/>
      </c>
      <c r="L56" s="8" t="str">
        <f t="shared" si="6"/>
        <v/>
      </c>
      <c r="M56" s="1" t="str">
        <f t="shared" si="7"/>
        <v/>
      </c>
    </row>
    <row r="57" spans="1:13" ht="27" customHeight="1">
      <c r="A57" s="8" t="str">
        <f t="shared" si="4"/>
        <v/>
      </c>
      <c r="B57" s="13"/>
      <c r="C57" s="13"/>
      <c r="D57" s="13"/>
      <c r="E57" s="9" t="str">
        <f t="shared" si="5"/>
        <v/>
      </c>
      <c r="F57" s="14"/>
      <c r="G57" s="14"/>
      <c r="H57" s="14"/>
      <c r="I57" s="14"/>
      <c r="J57" s="14"/>
      <c r="K57" s="10" t="str">
        <f>IF(COUNTA(B57:D57,F57:J57)=0,"",IF(OR(AND(F57&lt;&gt;"",ISERROR(VLOOKUP(VALUE(F57),料金表!$A$6:$B$8,2,FALSE()))),AND(G57&lt;&gt;"",ISERROR(VLOOKUP(VALUE(G57),料金表!$D$6:$E$8,2,FALSE()))),AND(H57&lt;&gt;"",ISERROR(VLOOKUP(H57,料金表!$G$6:$H$8,2,FALSE())))),"要確認",IF(F57="",0,VLOOKUP(VALUE(F57),料金表!$A$6:$B$8,2,FALSE()))+IF(G57="",0,VLOOKUP(VALUE(G57),料金表!$D$6:$E$8,2,FALSE()))+IF(H57="",0,VLOOKUP(H57,料金表!$G$6:$H$8,2,FALSE()))))</f>
        <v/>
      </c>
      <c r="L57" s="8" t="str">
        <f t="shared" si="6"/>
        <v/>
      </c>
      <c r="M57" s="1" t="str">
        <f t="shared" si="7"/>
        <v/>
      </c>
    </row>
    <row r="58" spans="1:13" ht="27" customHeight="1">
      <c r="A58" s="8" t="str">
        <f t="shared" si="4"/>
        <v/>
      </c>
      <c r="B58" s="13"/>
      <c r="C58" s="13"/>
      <c r="D58" s="13"/>
      <c r="E58" s="9" t="str">
        <f t="shared" si="5"/>
        <v/>
      </c>
      <c r="F58" s="14"/>
      <c r="G58" s="14"/>
      <c r="H58" s="14"/>
      <c r="I58" s="14"/>
      <c r="J58" s="14"/>
      <c r="K58" s="10" t="str">
        <f>IF(COUNTA(B58:D58,F58:J58)=0,"",IF(OR(AND(F58&lt;&gt;"",ISERROR(VLOOKUP(VALUE(F58),料金表!$A$6:$B$8,2,FALSE()))),AND(G58&lt;&gt;"",ISERROR(VLOOKUP(VALUE(G58),料金表!$D$6:$E$8,2,FALSE()))),AND(H58&lt;&gt;"",ISERROR(VLOOKUP(H58,料金表!$G$6:$H$8,2,FALSE())))),"要確認",IF(F58="",0,VLOOKUP(VALUE(F58),料金表!$A$6:$B$8,2,FALSE()))+IF(G58="",0,VLOOKUP(VALUE(G58),料金表!$D$6:$E$8,2,FALSE()))+IF(H58="",0,VLOOKUP(H58,料金表!$G$6:$H$8,2,FALSE()))))</f>
        <v/>
      </c>
      <c r="L58" s="8" t="str">
        <f t="shared" si="6"/>
        <v/>
      </c>
      <c r="M58" s="1" t="str">
        <f t="shared" si="7"/>
        <v/>
      </c>
    </row>
    <row r="59" spans="1:13" ht="27" customHeight="1">
      <c r="A59" s="8" t="str">
        <f t="shared" si="4"/>
        <v/>
      </c>
      <c r="B59" s="13"/>
      <c r="C59" s="13"/>
      <c r="D59" s="13"/>
      <c r="E59" s="9" t="str">
        <f t="shared" si="5"/>
        <v/>
      </c>
      <c r="F59" s="14"/>
      <c r="G59" s="14"/>
      <c r="H59" s="14"/>
      <c r="I59" s="14"/>
      <c r="J59" s="14"/>
      <c r="K59" s="10" t="str">
        <f>IF(COUNTA(B59:D59,F59:J59)=0,"",IF(OR(AND(F59&lt;&gt;"",ISERROR(VLOOKUP(VALUE(F59),料金表!$A$6:$B$8,2,FALSE()))),AND(G59&lt;&gt;"",ISERROR(VLOOKUP(VALUE(G59),料金表!$D$6:$E$8,2,FALSE()))),AND(H59&lt;&gt;"",ISERROR(VLOOKUP(H59,料金表!$G$6:$H$8,2,FALSE())))),"要確認",IF(F59="",0,VLOOKUP(VALUE(F59),料金表!$A$6:$B$8,2,FALSE()))+IF(G59="",0,VLOOKUP(VALUE(G59),料金表!$D$6:$E$8,2,FALSE()))+IF(H59="",0,VLOOKUP(H59,料金表!$G$6:$H$8,2,FALSE()))))</f>
        <v/>
      </c>
      <c r="L59" s="8" t="str">
        <f t="shared" si="6"/>
        <v/>
      </c>
      <c r="M59" s="1" t="str">
        <f t="shared" si="7"/>
        <v/>
      </c>
    </row>
    <row r="60" spans="1:13" ht="27" customHeight="1">
      <c r="A60" s="8" t="str">
        <f t="shared" si="4"/>
        <v/>
      </c>
      <c r="B60" s="13"/>
      <c r="C60" s="13"/>
      <c r="D60" s="13"/>
      <c r="E60" s="9" t="str">
        <f t="shared" si="5"/>
        <v/>
      </c>
      <c r="F60" s="14"/>
      <c r="G60" s="14"/>
      <c r="H60" s="14"/>
      <c r="I60" s="14"/>
      <c r="J60" s="14"/>
      <c r="K60" s="10" t="str">
        <f>IF(COUNTA(B60:D60,F60:J60)=0,"",IF(OR(AND(F60&lt;&gt;"",ISERROR(VLOOKUP(VALUE(F60),料金表!$A$6:$B$8,2,FALSE()))),AND(G60&lt;&gt;"",ISERROR(VLOOKUP(VALUE(G60),料金表!$D$6:$E$8,2,FALSE()))),AND(H60&lt;&gt;"",ISERROR(VLOOKUP(H60,料金表!$G$6:$H$8,2,FALSE())))),"要確認",IF(F60="",0,VLOOKUP(VALUE(F60),料金表!$A$6:$B$8,2,FALSE()))+IF(G60="",0,VLOOKUP(VALUE(G60),料金表!$D$6:$E$8,2,FALSE()))+IF(H60="",0,VLOOKUP(H60,料金表!$G$6:$H$8,2,FALSE()))))</f>
        <v/>
      </c>
      <c r="L60" s="8" t="str">
        <f t="shared" si="6"/>
        <v/>
      </c>
      <c r="M60" s="1" t="str">
        <f t="shared" si="7"/>
        <v/>
      </c>
    </row>
    <row r="61" spans="1:13" ht="27" customHeight="1">
      <c r="A61" s="8" t="str">
        <f t="shared" si="4"/>
        <v/>
      </c>
      <c r="B61" s="13"/>
      <c r="C61" s="13"/>
      <c r="D61" s="13"/>
      <c r="E61" s="9" t="str">
        <f t="shared" si="5"/>
        <v/>
      </c>
      <c r="F61" s="14"/>
      <c r="G61" s="14"/>
      <c r="H61" s="14"/>
      <c r="I61" s="14"/>
      <c r="J61" s="14"/>
      <c r="K61" s="10" t="str">
        <f>IF(COUNTA(B61:D61,F61:J61)=0,"",IF(OR(AND(F61&lt;&gt;"",ISERROR(VLOOKUP(VALUE(F61),料金表!$A$6:$B$8,2,FALSE()))),AND(G61&lt;&gt;"",ISERROR(VLOOKUP(VALUE(G61),料金表!$D$6:$E$8,2,FALSE()))),AND(H61&lt;&gt;"",ISERROR(VLOOKUP(H61,料金表!$G$6:$H$8,2,FALSE())))),"要確認",IF(F61="",0,VLOOKUP(VALUE(F61),料金表!$A$6:$B$8,2,FALSE()))+IF(G61="",0,VLOOKUP(VALUE(G61),料金表!$D$6:$E$8,2,FALSE()))+IF(H61="",0,VLOOKUP(H61,料金表!$G$6:$H$8,2,FALSE()))))</f>
        <v/>
      </c>
      <c r="L61" s="8" t="str">
        <f t="shared" si="6"/>
        <v/>
      </c>
      <c r="M61" s="1" t="str">
        <f t="shared" si="7"/>
        <v/>
      </c>
    </row>
    <row r="62" spans="1:13" ht="27" customHeight="1">
      <c r="A62" s="8" t="str">
        <f t="shared" si="4"/>
        <v/>
      </c>
      <c r="B62" s="13"/>
      <c r="C62" s="13"/>
      <c r="D62" s="13"/>
      <c r="E62" s="9" t="str">
        <f t="shared" si="5"/>
        <v/>
      </c>
      <c r="F62" s="14"/>
      <c r="G62" s="14"/>
      <c r="H62" s="14"/>
      <c r="I62" s="14"/>
      <c r="J62" s="14"/>
      <c r="K62" s="10" t="str">
        <f>IF(COUNTA(B62:D62,F62:J62)=0,"",IF(OR(AND(F62&lt;&gt;"",ISERROR(VLOOKUP(VALUE(F62),料金表!$A$6:$B$8,2,FALSE()))),AND(G62&lt;&gt;"",ISERROR(VLOOKUP(VALUE(G62),料金表!$D$6:$E$8,2,FALSE()))),AND(H62&lt;&gt;"",ISERROR(VLOOKUP(H62,料金表!$G$6:$H$8,2,FALSE())))),"要確認",IF(F62="",0,VLOOKUP(VALUE(F62),料金表!$A$6:$B$8,2,FALSE()))+IF(G62="",0,VLOOKUP(VALUE(G62),料金表!$D$6:$E$8,2,FALSE()))+IF(H62="",0,VLOOKUP(H62,料金表!$G$6:$H$8,2,FALSE()))))</f>
        <v/>
      </c>
      <c r="L62" s="8" t="str">
        <f t="shared" si="6"/>
        <v/>
      </c>
      <c r="M62" s="1" t="str">
        <f t="shared" si="7"/>
        <v/>
      </c>
    </row>
    <row r="63" spans="1:13" ht="27" customHeight="1">
      <c r="A63" s="8" t="str">
        <f t="shared" si="4"/>
        <v/>
      </c>
      <c r="B63" s="13"/>
      <c r="C63" s="13"/>
      <c r="D63" s="13"/>
      <c r="E63" s="9" t="str">
        <f t="shared" si="5"/>
        <v/>
      </c>
      <c r="F63" s="14"/>
      <c r="G63" s="14"/>
      <c r="H63" s="14"/>
      <c r="I63" s="14"/>
      <c r="J63" s="14"/>
      <c r="K63" s="10" t="str">
        <f>IF(COUNTA(B63:D63,F63:J63)=0,"",IF(OR(AND(F63&lt;&gt;"",ISERROR(VLOOKUP(VALUE(F63),料金表!$A$6:$B$8,2,FALSE()))),AND(G63&lt;&gt;"",ISERROR(VLOOKUP(VALUE(G63),料金表!$D$6:$E$8,2,FALSE()))),AND(H63&lt;&gt;"",ISERROR(VLOOKUP(H63,料金表!$G$6:$H$8,2,FALSE())))),"要確認",IF(F63="",0,VLOOKUP(VALUE(F63),料金表!$A$6:$B$8,2,FALSE()))+IF(G63="",0,VLOOKUP(VALUE(G63),料金表!$D$6:$E$8,2,FALSE()))+IF(H63="",0,VLOOKUP(H63,料金表!$G$6:$H$8,2,FALSE()))))</f>
        <v/>
      </c>
      <c r="L63" s="8" t="str">
        <f t="shared" si="6"/>
        <v/>
      </c>
      <c r="M63" s="1" t="str">
        <f t="shared" si="7"/>
        <v/>
      </c>
    </row>
    <row r="64" spans="1:13" ht="27" customHeight="1">
      <c r="A64" s="8" t="str">
        <f t="shared" si="4"/>
        <v/>
      </c>
      <c r="B64" s="13"/>
      <c r="C64" s="13"/>
      <c r="D64" s="13"/>
      <c r="E64" s="9" t="str">
        <f t="shared" si="5"/>
        <v/>
      </c>
      <c r="F64" s="14"/>
      <c r="G64" s="14"/>
      <c r="H64" s="14"/>
      <c r="I64" s="14"/>
      <c r="J64" s="14"/>
      <c r="K64" s="10" t="str">
        <f>IF(COUNTA(B64:D64,F64:J64)=0,"",IF(OR(AND(F64&lt;&gt;"",ISERROR(VLOOKUP(VALUE(F64),料金表!$A$6:$B$8,2,FALSE()))),AND(G64&lt;&gt;"",ISERROR(VLOOKUP(VALUE(G64),料金表!$D$6:$E$8,2,FALSE()))),AND(H64&lt;&gt;"",ISERROR(VLOOKUP(H64,料金表!$G$6:$H$8,2,FALSE())))),"要確認",IF(F64="",0,VLOOKUP(VALUE(F64),料金表!$A$6:$B$8,2,FALSE()))+IF(G64="",0,VLOOKUP(VALUE(G64),料金表!$D$6:$E$8,2,FALSE()))+IF(H64="",0,VLOOKUP(H64,料金表!$G$6:$H$8,2,FALSE()))))</f>
        <v/>
      </c>
      <c r="L64" s="8" t="str">
        <f t="shared" si="6"/>
        <v/>
      </c>
      <c r="M64" s="1" t="str">
        <f t="shared" si="7"/>
        <v/>
      </c>
    </row>
    <row r="65" spans="1:13" ht="27" customHeight="1">
      <c r="A65" s="8" t="str">
        <f t="shared" si="4"/>
        <v/>
      </c>
      <c r="B65" s="13"/>
      <c r="C65" s="13"/>
      <c r="D65" s="13"/>
      <c r="E65" s="9" t="str">
        <f t="shared" si="5"/>
        <v/>
      </c>
      <c r="F65" s="14"/>
      <c r="G65" s="14"/>
      <c r="H65" s="14"/>
      <c r="I65" s="14"/>
      <c r="J65" s="14"/>
      <c r="K65" s="10" t="str">
        <f>IF(COUNTA(B65:D65,F65:J65)=0,"",IF(OR(AND(F65&lt;&gt;"",ISERROR(VLOOKUP(VALUE(F65),料金表!$A$6:$B$8,2,FALSE()))),AND(G65&lt;&gt;"",ISERROR(VLOOKUP(VALUE(G65),料金表!$D$6:$E$8,2,FALSE()))),AND(H65&lt;&gt;"",ISERROR(VLOOKUP(H65,料金表!$G$6:$H$8,2,FALSE())))),"要確認",IF(F65="",0,VLOOKUP(VALUE(F65),料金表!$A$6:$B$8,2,FALSE()))+IF(G65="",0,VLOOKUP(VALUE(G65),料金表!$D$6:$E$8,2,FALSE()))+IF(H65="",0,VLOOKUP(H65,料金表!$G$6:$H$8,2,FALSE()))))</f>
        <v/>
      </c>
      <c r="L65" s="8" t="str">
        <f t="shared" si="6"/>
        <v/>
      </c>
      <c r="M65" s="1" t="str">
        <f t="shared" si="7"/>
        <v/>
      </c>
    </row>
    <row r="66" spans="1:13" ht="27" customHeight="1">
      <c r="A66" s="8" t="str">
        <f t="shared" si="4"/>
        <v/>
      </c>
      <c r="B66" s="13"/>
      <c r="C66" s="13"/>
      <c r="D66" s="13"/>
      <c r="E66" s="9" t="str">
        <f t="shared" si="5"/>
        <v/>
      </c>
      <c r="F66" s="14"/>
      <c r="G66" s="14"/>
      <c r="H66" s="14"/>
      <c r="I66" s="14"/>
      <c r="J66" s="14"/>
      <c r="K66" s="10" t="str">
        <f>IF(COUNTA(B66:D66,F66:J66)=0,"",IF(OR(AND(F66&lt;&gt;"",ISERROR(VLOOKUP(VALUE(F66),料金表!$A$6:$B$8,2,FALSE()))),AND(G66&lt;&gt;"",ISERROR(VLOOKUP(VALUE(G66),料金表!$D$6:$E$8,2,FALSE()))),AND(H66&lt;&gt;"",ISERROR(VLOOKUP(H66,料金表!$G$6:$H$8,2,FALSE())))),"要確認",IF(F66="",0,VLOOKUP(VALUE(F66),料金表!$A$6:$B$8,2,FALSE()))+IF(G66="",0,VLOOKUP(VALUE(G66),料金表!$D$6:$E$8,2,FALSE()))+IF(H66="",0,VLOOKUP(H66,料金表!$G$6:$H$8,2,FALSE()))))</f>
        <v/>
      </c>
      <c r="L66" s="8" t="str">
        <f t="shared" si="6"/>
        <v/>
      </c>
      <c r="M66" s="1" t="str">
        <f t="shared" si="7"/>
        <v/>
      </c>
    </row>
    <row r="67" spans="1:13" ht="27" customHeight="1">
      <c r="A67" s="8" t="str">
        <f t="shared" si="4"/>
        <v/>
      </c>
      <c r="B67" s="13"/>
      <c r="C67" s="13"/>
      <c r="D67" s="13"/>
      <c r="E67" s="9" t="str">
        <f t="shared" si="5"/>
        <v/>
      </c>
      <c r="F67" s="14"/>
      <c r="G67" s="14"/>
      <c r="H67" s="14"/>
      <c r="I67" s="14"/>
      <c r="J67" s="14"/>
      <c r="K67" s="10" t="str">
        <f>IF(COUNTA(B67:D67,F67:J67)=0,"",IF(OR(AND(F67&lt;&gt;"",ISERROR(VLOOKUP(VALUE(F67),料金表!$A$6:$B$8,2,FALSE()))),AND(G67&lt;&gt;"",ISERROR(VLOOKUP(VALUE(G67),料金表!$D$6:$E$8,2,FALSE()))),AND(H67&lt;&gt;"",ISERROR(VLOOKUP(H67,料金表!$G$6:$H$8,2,FALSE())))),"要確認",IF(F67="",0,VLOOKUP(VALUE(F67),料金表!$A$6:$B$8,2,FALSE()))+IF(G67="",0,VLOOKUP(VALUE(G67),料金表!$D$6:$E$8,2,FALSE()))+IF(H67="",0,VLOOKUP(H67,料金表!$G$6:$H$8,2,FALSE()))))</f>
        <v/>
      </c>
      <c r="L67" s="8" t="str">
        <f t="shared" si="6"/>
        <v/>
      </c>
      <c r="M67" s="1" t="str">
        <f t="shared" si="7"/>
        <v/>
      </c>
    </row>
    <row r="68" spans="1:13" ht="27" customHeight="1">
      <c r="A68" s="8" t="str">
        <f t="shared" si="4"/>
        <v/>
      </c>
      <c r="B68" s="13"/>
      <c r="C68" s="13"/>
      <c r="D68" s="13"/>
      <c r="E68" s="9" t="str">
        <f t="shared" si="5"/>
        <v/>
      </c>
      <c r="F68" s="14"/>
      <c r="G68" s="14"/>
      <c r="H68" s="14"/>
      <c r="I68" s="14"/>
      <c r="J68" s="14"/>
      <c r="K68" s="10" t="str">
        <f>IF(COUNTA(B68:D68,F68:J68)=0,"",IF(OR(AND(F68&lt;&gt;"",ISERROR(VLOOKUP(VALUE(F68),料金表!$A$6:$B$8,2,FALSE()))),AND(G68&lt;&gt;"",ISERROR(VLOOKUP(VALUE(G68),料金表!$D$6:$E$8,2,FALSE()))),AND(H68&lt;&gt;"",ISERROR(VLOOKUP(H68,料金表!$G$6:$H$8,2,FALSE())))),"要確認",IF(F68="",0,VLOOKUP(VALUE(F68),料金表!$A$6:$B$8,2,FALSE()))+IF(G68="",0,VLOOKUP(VALUE(G68),料金表!$D$6:$E$8,2,FALSE()))+IF(H68="",0,VLOOKUP(H68,料金表!$G$6:$H$8,2,FALSE()))))</f>
        <v/>
      </c>
      <c r="L68" s="8" t="str">
        <f t="shared" si="6"/>
        <v/>
      </c>
      <c r="M68" s="1" t="str">
        <f t="shared" si="7"/>
        <v/>
      </c>
    </row>
    <row r="69" spans="1:13" ht="27" customHeight="1">
      <c r="A69" s="8" t="str">
        <f t="shared" si="4"/>
        <v/>
      </c>
      <c r="B69" s="13"/>
      <c r="C69" s="13"/>
      <c r="D69" s="13"/>
      <c r="E69" s="9" t="str">
        <f t="shared" si="5"/>
        <v/>
      </c>
      <c r="F69" s="14"/>
      <c r="G69" s="14"/>
      <c r="H69" s="14"/>
      <c r="I69" s="14"/>
      <c r="J69" s="14"/>
      <c r="K69" s="10" t="str">
        <f>IF(COUNTA(B69:D69,F69:J69)=0,"",IF(OR(AND(F69&lt;&gt;"",ISERROR(VLOOKUP(VALUE(F69),料金表!$A$6:$B$8,2,FALSE()))),AND(G69&lt;&gt;"",ISERROR(VLOOKUP(VALUE(G69),料金表!$D$6:$E$8,2,FALSE()))),AND(H69&lt;&gt;"",ISERROR(VLOOKUP(H69,料金表!$G$6:$H$8,2,FALSE())))),"要確認",IF(F69="",0,VLOOKUP(VALUE(F69),料金表!$A$6:$B$8,2,FALSE()))+IF(G69="",0,VLOOKUP(VALUE(G69),料金表!$D$6:$E$8,2,FALSE()))+IF(H69="",0,VLOOKUP(H69,料金表!$G$6:$H$8,2,FALSE()))))</f>
        <v/>
      </c>
      <c r="L69" s="8" t="str">
        <f t="shared" si="6"/>
        <v/>
      </c>
      <c r="M69" s="1" t="str">
        <f t="shared" si="7"/>
        <v/>
      </c>
    </row>
    <row r="70" spans="1:13" ht="27" customHeight="1">
      <c r="A70" s="8" t="str">
        <f t="shared" si="4"/>
        <v/>
      </c>
      <c r="B70" s="13"/>
      <c r="C70" s="13"/>
      <c r="D70" s="13"/>
      <c r="E70" s="9" t="str">
        <f t="shared" si="5"/>
        <v/>
      </c>
      <c r="F70" s="14"/>
      <c r="G70" s="14"/>
      <c r="H70" s="14"/>
      <c r="I70" s="14"/>
      <c r="J70" s="14"/>
      <c r="K70" s="10" t="str">
        <f>IF(COUNTA(B70:D70,F70:J70)=0,"",IF(OR(AND(F70&lt;&gt;"",ISERROR(VLOOKUP(VALUE(F70),料金表!$A$6:$B$8,2,FALSE()))),AND(G70&lt;&gt;"",ISERROR(VLOOKUP(VALUE(G70),料金表!$D$6:$E$8,2,FALSE()))),AND(H70&lt;&gt;"",ISERROR(VLOOKUP(H70,料金表!$G$6:$H$8,2,FALSE())))),"要確認",IF(F70="",0,VLOOKUP(VALUE(F70),料金表!$A$6:$B$8,2,FALSE()))+IF(G70="",0,VLOOKUP(VALUE(G70),料金表!$D$6:$E$8,2,FALSE()))+IF(H70="",0,VLOOKUP(H70,料金表!$G$6:$H$8,2,FALSE()))))</f>
        <v/>
      </c>
      <c r="L70" s="8" t="str">
        <f t="shared" si="6"/>
        <v/>
      </c>
      <c r="M70" s="1" t="str">
        <f t="shared" si="7"/>
        <v/>
      </c>
    </row>
    <row r="71" spans="1:13" ht="27" customHeight="1">
      <c r="A71" s="8" t="str">
        <f t="shared" si="4"/>
        <v/>
      </c>
      <c r="B71" s="13"/>
      <c r="C71" s="13"/>
      <c r="D71" s="13"/>
      <c r="E71" s="9" t="str">
        <f t="shared" si="5"/>
        <v/>
      </c>
      <c r="F71" s="14"/>
      <c r="G71" s="14"/>
      <c r="H71" s="14"/>
      <c r="I71" s="14"/>
      <c r="J71" s="14"/>
      <c r="K71" s="10" t="str">
        <f>IF(COUNTA(B71:D71,F71:J71)=0,"",IF(OR(AND(F71&lt;&gt;"",ISERROR(VLOOKUP(VALUE(F71),料金表!$A$6:$B$8,2,FALSE()))),AND(G71&lt;&gt;"",ISERROR(VLOOKUP(VALUE(G71),料金表!$D$6:$E$8,2,FALSE()))),AND(H71&lt;&gt;"",ISERROR(VLOOKUP(H71,料金表!$G$6:$H$8,2,FALSE())))),"要確認",IF(F71="",0,VLOOKUP(VALUE(F71),料金表!$A$6:$B$8,2,FALSE()))+IF(G71="",0,VLOOKUP(VALUE(G71),料金表!$D$6:$E$8,2,FALSE()))+IF(H71="",0,VLOOKUP(H71,料金表!$G$6:$H$8,2,FALSE()))))</f>
        <v/>
      </c>
      <c r="L71" s="8" t="str">
        <f t="shared" si="6"/>
        <v/>
      </c>
      <c r="M71" s="1" t="str">
        <f t="shared" si="7"/>
        <v/>
      </c>
    </row>
    <row r="72" spans="1:13" ht="27" customHeight="1">
      <c r="A72" s="8" t="str">
        <f t="shared" si="4"/>
        <v/>
      </c>
      <c r="B72" s="13"/>
      <c r="C72" s="13"/>
      <c r="D72" s="13"/>
      <c r="E72" s="9" t="str">
        <f t="shared" si="5"/>
        <v/>
      </c>
      <c r="F72" s="14"/>
      <c r="G72" s="14"/>
      <c r="H72" s="14"/>
      <c r="I72" s="14"/>
      <c r="J72" s="14"/>
      <c r="K72" s="10" t="str">
        <f>IF(COUNTA(B72:D72,F72:J72)=0,"",IF(OR(AND(F72&lt;&gt;"",ISERROR(VLOOKUP(VALUE(F72),料金表!$A$6:$B$8,2,FALSE()))),AND(G72&lt;&gt;"",ISERROR(VLOOKUP(VALUE(G72),料金表!$D$6:$E$8,2,FALSE()))),AND(H72&lt;&gt;"",ISERROR(VLOOKUP(H72,料金表!$G$6:$H$8,2,FALSE())))),"要確認",IF(F72="",0,VLOOKUP(VALUE(F72),料金表!$A$6:$B$8,2,FALSE()))+IF(G72="",0,VLOOKUP(VALUE(G72),料金表!$D$6:$E$8,2,FALSE()))+IF(H72="",0,VLOOKUP(H72,料金表!$G$6:$H$8,2,FALSE()))))</f>
        <v/>
      </c>
      <c r="L72" s="8" t="str">
        <f t="shared" si="6"/>
        <v/>
      </c>
      <c r="M72" s="1" t="str">
        <f t="shared" si="7"/>
        <v/>
      </c>
    </row>
    <row r="73" spans="1:13" ht="27" customHeight="1">
      <c r="A73" s="8" t="str">
        <f t="shared" si="4"/>
        <v/>
      </c>
      <c r="B73" s="13"/>
      <c r="C73" s="13"/>
      <c r="D73" s="13"/>
      <c r="E73" s="9" t="str">
        <f t="shared" si="5"/>
        <v/>
      </c>
      <c r="F73" s="14"/>
      <c r="G73" s="14"/>
      <c r="H73" s="14"/>
      <c r="I73" s="14"/>
      <c r="J73" s="14"/>
      <c r="K73" s="10" t="str">
        <f>IF(COUNTA(B73:D73,F73:J73)=0,"",IF(OR(AND(F73&lt;&gt;"",ISERROR(VLOOKUP(VALUE(F73),料金表!$A$6:$B$8,2,FALSE()))),AND(G73&lt;&gt;"",ISERROR(VLOOKUP(VALUE(G73),料金表!$D$6:$E$8,2,FALSE()))),AND(H73&lt;&gt;"",ISERROR(VLOOKUP(H73,料金表!$G$6:$H$8,2,FALSE())))),"要確認",IF(F73="",0,VLOOKUP(VALUE(F73),料金表!$A$6:$B$8,2,FALSE()))+IF(G73="",0,VLOOKUP(VALUE(G73),料金表!$D$6:$E$8,2,FALSE()))+IF(H73="",0,VLOOKUP(H73,料金表!$G$6:$H$8,2,FALSE()))))</f>
        <v/>
      </c>
      <c r="L73" s="8" t="str">
        <f t="shared" si="6"/>
        <v/>
      </c>
      <c r="M73" s="1" t="str">
        <f t="shared" si="7"/>
        <v/>
      </c>
    </row>
    <row r="74" spans="1:13" ht="27" customHeight="1">
      <c r="A74" s="8" t="str">
        <f t="shared" si="4"/>
        <v/>
      </c>
      <c r="B74" s="13"/>
      <c r="C74" s="13"/>
      <c r="D74" s="13"/>
      <c r="E74" s="9" t="str">
        <f t="shared" si="5"/>
        <v/>
      </c>
      <c r="F74" s="14"/>
      <c r="G74" s="14"/>
      <c r="H74" s="14"/>
      <c r="I74" s="14"/>
      <c r="J74" s="14"/>
      <c r="K74" s="10" t="str">
        <f>IF(COUNTA(B74:D74,F74:J74)=0,"",IF(OR(AND(F74&lt;&gt;"",ISERROR(VLOOKUP(VALUE(F74),料金表!$A$6:$B$8,2,FALSE()))),AND(G74&lt;&gt;"",ISERROR(VLOOKUP(VALUE(G74),料金表!$D$6:$E$8,2,FALSE()))),AND(H74&lt;&gt;"",ISERROR(VLOOKUP(H74,料金表!$G$6:$H$8,2,FALSE())))),"要確認",IF(F74="",0,VLOOKUP(VALUE(F74),料金表!$A$6:$B$8,2,FALSE()))+IF(G74="",0,VLOOKUP(VALUE(G74),料金表!$D$6:$E$8,2,FALSE()))+IF(H74="",0,VLOOKUP(H74,料金表!$G$6:$H$8,2,FALSE()))))</f>
        <v/>
      </c>
      <c r="L74" s="8" t="str">
        <f t="shared" si="6"/>
        <v/>
      </c>
      <c r="M74" s="1" t="str">
        <f t="shared" si="7"/>
        <v/>
      </c>
    </row>
    <row r="75" spans="1:13" ht="27" customHeight="1">
      <c r="A75" s="8" t="str">
        <f t="shared" si="4"/>
        <v/>
      </c>
      <c r="B75" s="13"/>
      <c r="C75" s="13"/>
      <c r="D75" s="13"/>
      <c r="E75" s="9" t="str">
        <f t="shared" si="5"/>
        <v/>
      </c>
      <c r="F75" s="14"/>
      <c r="G75" s="14"/>
      <c r="H75" s="14"/>
      <c r="I75" s="14"/>
      <c r="J75" s="14"/>
      <c r="K75" s="10" t="str">
        <f>IF(COUNTA(B75:D75,F75:J75)=0,"",IF(OR(AND(F75&lt;&gt;"",ISERROR(VLOOKUP(VALUE(F75),料金表!$A$6:$B$8,2,FALSE()))),AND(G75&lt;&gt;"",ISERROR(VLOOKUP(VALUE(G75),料金表!$D$6:$E$8,2,FALSE()))),AND(H75&lt;&gt;"",ISERROR(VLOOKUP(H75,料金表!$G$6:$H$8,2,FALSE())))),"要確認",IF(F75="",0,VLOOKUP(VALUE(F75),料金表!$A$6:$B$8,2,FALSE()))+IF(G75="",0,VLOOKUP(VALUE(G75),料金表!$D$6:$E$8,2,FALSE()))+IF(H75="",0,VLOOKUP(H75,料金表!$G$6:$H$8,2,FALSE()))))</f>
        <v/>
      </c>
      <c r="L75" s="8" t="str">
        <f t="shared" si="6"/>
        <v/>
      </c>
      <c r="M75" s="1" t="str">
        <f t="shared" si="7"/>
        <v/>
      </c>
    </row>
    <row r="76" spans="1:13" ht="27" customHeight="1">
      <c r="A76" s="8" t="str">
        <f t="shared" si="4"/>
        <v/>
      </c>
      <c r="B76" s="13"/>
      <c r="C76" s="13"/>
      <c r="D76" s="13"/>
      <c r="E76" s="9" t="str">
        <f t="shared" si="5"/>
        <v/>
      </c>
      <c r="F76" s="14"/>
      <c r="G76" s="14"/>
      <c r="H76" s="14"/>
      <c r="I76" s="14"/>
      <c r="J76" s="14"/>
      <c r="K76" s="10" t="str">
        <f>IF(COUNTA(B76:D76,F76:J76)=0,"",IF(OR(AND(F76&lt;&gt;"",ISERROR(VLOOKUP(VALUE(F76),料金表!$A$6:$B$8,2,FALSE()))),AND(G76&lt;&gt;"",ISERROR(VLOOKUP(VALUE(G76),料金表!$D$6:$E$8,2,FALSE()))),AND(H76&lt;&gt;"",ISERROR(VLOOKUP(H76,料金表!$G$6:$H$8,2,FALSE())))),"要確認",IF(F76="",0,VLOOKUP(VALUE(F76),料金表!$A$6:$B$8,2,FALSE()))+IF(G76="",0,VLOOKUP(VALUE(G76),料金表!$D$6:$E$8,2,FALSE()))+IF(H76="",0,VLOOKUP(H76,料金表!$G$6:$H$8,2,FALSE()))))</f>
        <v/>
      </c>
      <c r="L76" s="8" t="str">
        <f t="shared" si="6"/>
        <v/>
      </c>
      <c r="M76" s="1" t="str">
        <f t="shared" si="7"/>
        <v/>
      </c>
    </row>
    <row r="77" spans="1:13" ht="27" customHeight="1">
      <c r="A77" s="8" t="str">
        <f t="shared" ref="A77:A108" si="8">IF(COUNTA(B77:D77,F77:J77)=0,"",ROW()-12)</f>
        <v/>
      </c>
      <c r="B77" s="13"/>
      <c r="C77" s="13"/>
      <c r="D77" s="13"/>
      <c r="E77" s="9" t="str">
        <f t="shared" ref="E77:E108" si="9">IF(COUNTA(B77:D77,F77:J77)=0,"",IF(COUNTA($C$4)=0,"",$C$4))</f>
        <v/>
      </c>
      <c r="F77" s="14"/>
      <c r="G77" s="14"/>
      <c r="H77" s="14"/>
      <c r="I77" s="14"/>
      <c r="J77" s="14"/>
      <c r="K77" s="10" t="str">
        <f>IF(COUNTA(B77:D77,F77:J77)=0,"",IF(OR(AND(F77&lt;&gt;"",ISERROR(VLOOKUP(VALUE(F77),料金表!$A$6:$B$8,2,FALSE()))),AND(G77&lt;&gt;"",ISERROR(VLOOKUP(VALUE(G77),料金表!$D$6:$E$8,2,FALSE()))),AND(H77&lt;&gt;"",ISERROR(VLOOKUP(H77,料金表!$G$6:$H$8,2,FALSE())))),"要確認",IF(F77="",0,VLOOKUP(VALUE(F77),料金表!$A$6:$B$8,2,FALSE()))+IF(G77="",0,VLOOKUP(VALUE(G77),料金表!$D$6:$E$8,2,FALSE()))+IF(H77="",0,VLOOKUP(H77,料金表!$G$6:$H$8,2,FALSE()))))</f>
        <v/>
      </c>
      <c r="L77" s="8" t="str">
        <f t="shared" ref="L77:L108" si="10">IF(COUNTA(B77:D77,F77:J77)=0,"",IF(OR(B77="",C77="",D77=""),"要確認：氏名・カナ・生年月日",IF(NOT(AND(ISTEXT(B77),LEN(B77)-LEN(SUBSTITUTE(B77," ",""))=1,LEFT(B77,1)&lt;&gt;" ",RIGHT(B77,1)&lt;&gt;" ",ISERROR(SEARCH("　",B77)))),"要確認：姓と名に半角スペース",IF(NOT(IFERROR(AND(ISTEXT(D77),LEN(D77)&gt;=8,LEN(D77)&lt;=10,MID(D77,5,1)="/",LEN(D77)-LEN(SUBSTITUTE(D77,"/",""))=2,FIND("/",D77,6)&gt;=7,FIND("/",D77,6)&lt;=8,LEN(D77)-FIND("/",D77,6)&gt;=1,LEN(D77)-FIND("/",D77,6)&lt;=2,YEAR(DATE(VALUE(LEFT(D77,4)),VALUE(MID(D77,6,FIND("/",D77,6)-6)),VALUE(MID(D77,FIND("/",D77,6)+1,2))))=VALUE(LEFT(D77,4)),MONTH(DATE(VALUE(LEFT(D77,4)),VALUE(MID(D77,6,FIND("/",D77,6)-6)),VALUE(MID(D77,FIND("/",D77,6)+1,2))))=VALUE(MID(D77,6,FIND("/",D77,6)-6)),DAY(DATE(VALUE(LEFT(D77,4)),VALUE(MID(D77,6,FIND("/",D77,6)-6)),VALUE(MID(D77,FIND("/",D77,6)+1,2))))=VALUE(MID(D77,FIND("/",D77,6)+1,2)),DATE(VALUE(LEFT(D77,4)),VALUE(MID(D77,6,FIND("/",D77,6)-6)),VALUE(MID(D77,FIND("/",D77,6)+1,2)))&gt;=DATE(1900,1,1),DATE(VALUE(LEFT(D77,4)),VALUE(MID(D77,6,FIND("/",D77,6)-6)),VALUE(MID(D77,FIND("/",D77,6)+1,2)))&lt;=$B$3,NOT(AND(VALUE(LEFT(D77,4))=1900,VALUE(MID(D77,6,FIND("/",D77,6)-6))=2,VALUE(MID(D77,FIND("/",D77,6)+1,2))=29))),FALSE())),"要確認：生年月日は西暦/月/日",IF(COUNTA(F77:H77)=0,"要確認：受験種目",IF(NOT(ISNUMBER(K77)),"要確認：級・段位",IF(AND(I77&lt;&gt;"",NOT(OR(I77="未確認",I77="はい",I77="いいえ"))),"要確認：初受験",IF(OR(AND(F77&lt;&gt;"",COUNTIFS($B$13:$B$212,B77,$M$13:$M$212,M77,$F$13:$F$212,F77)&gt;1),AND(G77&lt;&gt;"",COUNTIFS($B$13:$B$212,B77,$M$13:$M$212,M77,$G$13:$G$212,G77)&gt;1),AND(H77&lt;&gt;"",COUNTIFS($B$13:$B$212,B77,$M$13:$M$212,M77,$H$13:$H$212,H77)&gt;1)),"要確認：同じ種目・級が重複",""))))))))</f>
        <v/>
      </c>
      <c r="M77" s="1" t="str">
        <f t="shared" ref="M77:M108" si="11">IF(D77="","",IFERROR(DATE(VALUE(LEFT(D77,4)),VALUE(MID(D77,6,FIND("/",D77,6)-6)),VALUE(MID(D77,FIND("/",D77,6)+1,2))),""))</f>
        <v/>
      </c>
    </row>
    <row r="78" spans="1:13" ht="27" customHeight="1">
      <c r="A78" s="8" t="str">
        <f t="shared" si="8"/>
        <v/>
      </c>
      <c r="B78" s="13"/>
      <c r="C78" s="13"/>
      <c r="D78" s="13"/>
      <c r="E78" s="9" t="str">
        <f t="shared" si="9"/>
        <v/>
      </c>
      <c r="F78" s="14"/>
      <c r="G78" s="14"/>
      <c r="H78" s="14"/>
      <c r="I78" s="14"/>
      <c r="J78" s="14"/>
      <c r="K78" s="10" t="str">
        <f>IF(COUNTA(B78:D78,F78:J78)=0,"",IF(OR(AND(F78&lt;&gt;"",ISERROR(VLOOKUP(VALUE(F78),料金表!$A$6:$B$8,2,FALSE()))),AND(G78&lt;&gt;"",ISERROR(VLOOKUP(VALUE(G78),料金表!$D$6:$E$8,2,FALSE()))),AND(H78&lt;&gt;"",ISERROR(VLOOKUP(H78,料金表!$G$6:$H$8,2,FALSE())))),"要確認",IF(F78="",0,VLOOKUP(VALUE(F78),料金表!$A$6:$B$8,2,FALSE()))+IF(G78="",0,VLOOKUP(VALUE(G78),料金表!$D$6:$E$8,2,FALSE()))+IF(H78="",0,VLOOKUP(H78,料金表!$G$6:$H$8,2,FALSE()))))</f>
        <v/>
      </c>
      <c r="L78" s="8" t="str">
        <f t="shared" si="10"/>
        <v/>
      </c>
      <c r="M78" s="1" t="str">
        <f t="shared" si="11"/>
        <v/>
      </c>
    </row>
    <row r="79" spans="1:13" ht="27" customHeight="1">
      <c r="A79" s="8" t="str">
        <f t="shared" si="8"/>
        <v/>
      </c>
      <c r="B79" s="13"/>
      <c r="C79" s="13"/>
      <c r="D79" s="13"/>
      <c r="E79" s="9" t="str">
        <f t="shared" si="9"/>
        <v/>
      </c>
      <c r="F79" s="14"/>
      <c r="G79" s="14"/>
      <c r="H79" s="14"/>
      <c r="I79" s="14"/>
      <c r="J79" s="14"/>
      <c r="K79" s="10" t="str">
        <f>IF(COUNTA(B79:D79,F79:J79)=0,"",IF(OR(AND(F79&lt;&gt;"",ISERROR(VLOOKUP(VALUE(F79),料金表!$A$6:$B$8,2,FALSE()))),AND(G79&lt;&gt;"",ISERROR(VLOOKUP(VALUE(G79),料金表!$D$6:$E$8,2,FALSE()))),AND(H79&lt;&gt;"",ISERROR(VLOOKUP(H79,料金表!$G$6:$H$8,2,FALSE())))),"要確認",IF(F79="",0,VLOOKUP(VALUE(F79),料金表!$A$6:$B$8,2,FALSE()))+IF(G79="",0,VLOOKUP(VALUE(G79),料金表!$D$6:$E$8,2,FALSE()))+IF(H79="",0,VLOOKUP(H79,料金表!$G$6:$H$8,2,FALSE()))))</f>
        <v/>
      </c>
      <c r="L79" s="8" t="str">
        <f t="shared" si="10"/>
        <v/>
      </c>
      <c r="M79" s="1" t="str">
        <f t="shared" si="11"/>
        <v/>
      </c>
    </row>
    <row r="80" spans="1:13" ht="27" customHeight="1">
      <c r="A80" s="8" t="str">
        <f t="shared" si="8"/>
        <v/>
      </c>
      <c r="B80" s="13"/>
      <c r="C80" s="13"/>
      <c r="D80" s="13"/>
      <c r="E80" s="9" t="str">
        <f t="shared" si="9"/>
        <v/>
      </c>
      <c r="F80" s="14"/>
      <c r="G80" s="14"/>
      <c r="H80" s="14"/>
      <c r="I80" s="14"/>
      <c r="J80" s="14"/>
      <c r="K80" s="10" t="str">
        <f>IF(COUNTA(B80:D80,F80:J80)=0,"",IF(OR(AND(F80&lt;&gt;"",ISERROR(VLOOKUP(VALUE(F80),料金表!$A$6:$B$8,2,FALSE()))),AND(G80&lt;&gt;"",ISERROR(VLOOKUP(VALUE(G80),料金表!$D$6:$E$8,2,FALSE()))),AND(H80&lt;&gt;"",ISERROR(VLOOKUP(H80,料金表!$G$6:$H$8,2,FALSE())))),"要確認",IF(F80="",0,VLOOKUP(VALUE(F80),料金表!$A$6:$B$8,2,FALSE()))+IF(G80="",0,VLOOKUP(VALUE(G80),料金表!$D$6:$E$8,2,FALSE()))+IF(H80="",0,VLOOKUP(H80,料金表!$G$6:$H$8,2,FALSE()))))</f>
        <v/>
      </c>
      <c r="L80" s="8" t="str">
        <f t="shared" si="10"/>
        <v/>
      </c>
      <c r="M80" s="1" t="str">
        <f t="shared" si="11"/>
        <v/>
      </c>
    </row>
    <row r="81" spans="1:13" ht="27" customHeight="1">
      <c r="A81" s="8" t="str">
        <f t="shared" si="8"/>
        <v/>
      </c>
      <c r="B81" s="13"/>
      <c r="C81" s="13"/>
      <c r="D81" s="13"/>
      <c r="E81" s="9" t="str">
        <f t="shared" si="9"/>
        <v/>
      </c>
      <c r="F81" s="14"/>
      <c r="G81" s="14"/>
      <c r="H81" s="14"/>
      <c r="I81" s="14"/>
      <c r="J81" s="14"/>
      <c r="K81" s="10" t="str">
        <f>IF(COUNTA(B81:D81,F81:J81)=0,"",IF(OR(AND(F81&lt;&gt;"",ISERROR(VLOOKUP(VALUE(F81),料金表!$A$6:$B$8,2,FALSE()))),AND(G81&lt;&gt;"",ISERROR(VLOOKUP(VALUE(G81),料金表!$D$6:$E$8,2,FALSE()))),AND(H81&lt;&gt;"",ISERROR(VLOOKUP(H81,料金表!$G$6:$H$8,2,FALSE())))),"要確認",IF(F81="",0,VLOOKUP(VALUE(F81),料金表!$A$6:$B$8,2,FALSE()))+IF(G81="",0,VLOOKUP(VALUE(G81),料金表!$D$6:$E$8,2,FALSE()))+IF(H81="",0,VLOOKUP(H81,料金表!$G$6:$H$8,2,FALSE()))))</f>
        <v/>
      </c>
      <c r="L81" s="8" t="str">
        <f t="shared" si="10"/>
        <v/>
      </c>
      <c r="M81" s="1" t="str">
        <f t="shared" si="11"/>
        <v/>
      </c>
    </row>
    <row r="82" spans="1:13" ht="27" customHeight="1">
      <c r="A82" s="8" t="str">
        <f t="shared" si="8"/>
        <v/>
      </c>
      <c r="B82" s="13"/>
      <c r="C82" s="13"/>
      <c r="D82" s="13"/>
      <c r="E82" s="9" t="str">
        <f t="shared" si="9"/>
        <v/>
      </c>
      <c r="F82" s="14"/>
      <c r="G82" s="14"/>
      <c r="H82" s="14"/>
      <c r="I82" s="14"/>
      <c r="J82" s="14"/>
      <c r="K82" s="10" t="str">
        <f>IF(COUNTA(B82:D82,F82:J82)=0,"",IF(OR(AND(F82&lt;&gt;"",ISERROR(VLOOKUP(VALUE(F82),料金表!$A$6:$B$8,2,FALSE()))),AND(G82&lt;&gt;"",ISERROR(VLOOKUP(VALUE(G82),料金表!$D$6:$E$8,2,FALSE()))),AND(H82&lt;&gt;"",ISERROR(VLOOKUP(H82,料金表!$G$6:$H$8,2,FALSE())))),"要確認",IF(F82="",0,VLOOKUP(VALUE(F82),料金表!$A$6:$B$8,2,FALSE()))+IF(G82="",0,VLOOKUP(VALUE(G82),料金表!$D$6:$E$8,2,FALSE()))+IF(H82="",0,VLOOKUP(H82,料金表!$G$6:$H$8,2,FALSE()))))</f>
        <v/>
      </c>
      <c r="L82" s="8" t="str">
        <f t="shared" si="10"/>
        <v/>
      </c>
      <c r="M82" s="1" t="str">
        <f t="shared" si="11"/>
        <v/>
      </c>
    </row>
    <row r="83" spans="1:13" ht="27" customHeight="1">
      <c r="A83" s="8" t="str">
        <f t="shared" si="8"/>
        <v/>
      </c>
      <c r="B83" s="13"/>
      <c r="C83" s="13"/>
      <c r="D83" s="13"/>
      <c r="E83" s="9" t="str">
        <f t="shared" si="9"/>
        <v/>
      </c>
      <c r="F83" s="14"/>
      <c r="G83" s="14"/>
      <c r="H83" s="14"/>
      <c r="I83" s="14"/>
      <c r="J83" s="14"/>
      <c r="K83" s="10" t="str">
        <f>IF(COUNTA(B83:D83,F83:J83)=0,"",IF(OR(AND(F83&lt;&gt;"",ISERROR(VLOOKUP(VALUE(F83),料金表!$A$6:$B$8,2,FALSE()))),AND(G83&lt;&gt;"",ISERROR(VLOOKUP(VALUE(G83),料金表!$D$6:$E$8,2,FALSE()))),AND(H83&lt;&gt;"",ISERROR(VLOOKUP(H83,料金表!$G$6:$H$8,2,FALSE())))),"要確認",IF(F83="",0,VLOOKUP(VALUE(F83),料金表!$A$6:$B$8,2,FALSE()))+IF(G83="",0,VLOOKUP(VALUE(G83),料金表!$D$6:$E$8,2,FALSE()))+IF(H83="",0,VLOOKUP(H83,料金表!$G$6:$H$8,2,FALSE()))))</f>
        <v/>
      </c>
      <c r="L83" s="8" t="str">
        <f t="shared" si="10"/>
        <v/>
      </c>
      <c r="M83" s="1" t="str">
        <f t="shared" si="11"/>
        <v/>
      </c>
    </row>
    <row r="84" spans="1:13" ht="27" customHeight="1">
      <c r="A84" s="8" t="str">
        <f t="shared" si="8"/>
        <v/>
      </c>
      <c r="B84" s="13"/>
      <c r="C84" s="13"/>
      <c r="D84" s="13"/>
      <c r="E84" s="9" t="str">
        <f t="shared" si="9"/>
        <v/>
      </c>
      <c r="F84" s="14"/>
      <c r="G84" s="14"/>
      <c r="H84" s="14"/>
      <c r="I84" s="14"/>
      <c r="J84" s="14"/>
      <c r="K84" s="10" t="str">
        <f>IF(COUNTA(B84:D84,F84:J84)=0,"",IF(OR(AND(F84&lt;&gt;"",ISERROR(VLOOKUP(VALUE(F84),料金表!$A$6:$B$8,2,FALSE()))),AND(G84&lt;&gt;"",ISERROR(VLOOKUP(VALUE(G84),料金表!$D$6:$E$8,2,FALSE()))),AND(H84&lt;&gt;"",ISERROR(VLOOKUP(H84,料金表!$G$6:$H$8,2,FALSE())))),"要確認",IF(F84="",0,VLOOKUP(VALUE(F84),料金表!$A$6:$B$8,2,FALSE()))+IF(G84="",0,VLOOKUP(VALUE(G84),料金表!$D$6:$E$8,2,FALSE()))+IF(H84="",0,VLOOKUP(H84,料金表!$G$6:$H$8,2,FALSE()))))</f>
        <v/>
      </c>
      <c r="L84" s="8" t="str">
        <f t="shared" si="10"/>
        <v/>
      </c>
      <c r="M84" s="1" t="str">
        <f t="shared" si="11"/>
        <v/>
      </c>
    </row>
    <row r="85" spans="1:13" ht="27" customHeight="1">
      <c r="A85" s="8" t="str">
        <f t="shared" si="8"/>
        <v/>
      </c>
      <c r="B85" s="13"/>
      <c r="C85" s="13"/>
      <c r="D85" s="13"/>
      <c r="E85" s="9" t="str">
        <f t="shared" si="9"/>
        <v/>
      </c>
      <c r="F85" s="14"/>
      <c r="G85" s="14"/>
      <c r="H85" s="14"/>
      <c r="I85" s="14"/>
      <c r="J85" s="14"/>
      <c r="K85" s="10" t="str">
        <f>IF(COUNTA(B85:D85,F85:J85)=0,"",IF(OR(AND(F85&lt;&gt;"",ISERROR(VLOOKUP(VALUE(F85),料金表!$A$6:$B$8,2,FALSE()))),AND(G85&lt;&gt;"",ISERROR(VLOOKUP(VALUE(G85),料金表!$D$6:$E$8,2,FALSE()))),AND(H85&lt;&gt;"",ISERROR(VLOOKUP(H85,料金表!$G$6:$H$8,2,FALSE())))),"要確認",IF(F85="",0,VLOOKUP(VALUE(F85),料金表!$A$6:$B$8,2,FALSE()))+IF(G85="",0,VLOOKUP(VALUE(G85),料金表!$D$6:$E$8,2,FALSE()))+IF(H85="",0,VLOOKUP(H85,料金表!$G$6:$H$8,2,FALSE()))))</f>
        <v/>
      </c>
      <c r="L85" s="8" t="str">
        <f t="shared" si="10"/>
        <v/>
      </c>
      <c r="M85" s="1" t="str">
        <f t="shared" si="11"/>
        <v/>
      </c>
    </row>
    <row r="86" spans="1:13" ht="27" customHeight="1">
      <c r="A86" s="8" t="str">
        <f t="shared" si="8"/>
        <v/>
      </c>
      <c r="B86" s="13"/>
      <c r="C86" s="13"/>
      <c r="D86" s="13"/>
      <c r="E86" s="9" t="str">
        <f t="shared" si="9"/>
        <v/>
      </c>
      <c r="F86" s="14"/>
      <c r="G86" s="14"/>
      <c r="H86" s="14"/>
      <c r="I86" s="14"/>
      <c r="J86" s="14"/>
      <c r="K86" s="10" t="str">
        <f>IF(COUNTA(B86:D86,F86:J86)=0,"",IF(OR(AND(F86&lt;&gt;"",ISERROR(VLOOKUP(VALUE(F86),料金表!$A$6:$B$8,2,FALSE()))),AND(G86&lt;&gt;"",ISERROR(VLOOKUP(VALUE(G86),料金表!$D$6:$E$8,2,FALSE()))),AND(H86&lt;&gt;"",ISERROR(VLOOKUP(H86,料金表!$G$6:$H$8,2,FALSE())))),"要確認",IF(F86="",0,VLOOKUP(VALUE(F86),料金表!$A$6:$B$8,2,FALSE()))+IF(G86="",0,VLOOKUP(VALUE(G86),料金表!$D$6:$E$8,2,FALSE()))+IF(H86="",0,VLOOKUP(H86,料金表!$G$6:$H$8,2,FALSE()))))</f>
        <v/>
      </c>
      <c r="L86" s="8" t="str">
        <f t="shared" si="10"/>
        <v/>
      </c>
      <c r="M86" s="1" t="str">
        <f t="shared" si="11"/>
        <v/>
      </c>
    </row>
    <row r="87" spans="1:13" ht="27" customHeight="1">
      <c r="A87" s="8" t="str">
        <f t="shared" si="8"/>
        <v/>
      </c>
      <c r="B87" s="13"/>
      <c r="C87" s="13"/>
      <c r="D87" s="13"/>
      <c r="E87" s="9" t="str">
        <f t="shared" si="9"/>
        <v/>
      </c>
      <c r="F87" s="14"/>
      <c r="G87" s="14"/>
      <c r="H87" s="14"/>
      <c r="I87" s="14"/>
      <c r="J87" s="14"/>
      <c r="K87" s="10" t="str">
        <f>IF(COUNTA(B87:D87,F87:J87)=0,"",IF(OR(AND(F87&lt;&gt;"",ISERROR(VLOOKUP(VALUE(F87),料金表!$A$6:$B$8,2,FALSE()))),AND(G87&lt;&gt;"",ISERROR(VLOOKUP(VALUE(G87),料金表!$D$6:$E$8,2,FALSE()))),AND(H87&lt;&gt;"",ISERROR(VLOOKUP(H87,料金表!$G$6:$H$8,2,FALSE())))),"要確認",IF(F87="",0,VLOOKUP(VALUE(F87),料金表!$A$6:$B$8,2,FALSE()))+IF(G87="",0,VLOOKUP(VALUE(G87),料金表!$D$6:$E$8,2,FALSE()))+IF(H87="",0,VLOOKUP(H87,料金表!$G$6:$H$8,2,FALSE()))))</f>
        <v/>
      </c>
      <c r="L87" s="8" t="str">
        <f t="shared" si="10"/>
        <v/>
      </c>
      <c r="M87" s="1" t="str">
        <f t="shared" si="11"/>
        <v/>
      </c>
    </row>
    <row r="88" spans="1:13" ht="27" customHeight="1">
      <c r="A88" s="8" t="str">
        <f t="shared" si="8"/>
        <v/>
      </c>
      <c r="B88" s="13"/>
      <c r="C88" s="13"/>
      <c r="D88" s="13"/>
      <c r="E88" s="9" t="str">
        <f t="shared" si="9"/>
        <v/>
      </c>
      <c r="F88" s="14"/>
      <c r="G88" s="14"/>
      <c r="H88" s="14"/>
      <c r="I88" s="14"/>
      <c r="J88" s="14"/>
      <c r="K88" s="10" t="str">
        <f>IF(COUNTA(B88:D88,F88:J88)=0,"",IF(OR(AND(F88&lt;&gt;"",ISERROR(VLOOKUP(VALUE(F88),料金表!$A$6:$B$8,2,FALSE()))),AND(G88&lt;&gt;"",ISERROR(VLOOKUP(VALUE(G88),料金表!$D$6:$E$8,2,FALSE()))),AND(H88&lt;&gt;"",ISERROR(VLOOKUP(H88,料金表!$G$6:$H$8,2,FALSE())))),"要確認",IF(F88="",0,VLOOKUP(VALUE(F88),料金表!$A$6:$B$8,2,FALSE()))+IF(G88="",0,VLOOKUP(VALUE(G88),料金表!$D$6:$E$8,2,FALSE()))+IF(H88="",0,VLOOKUP(H88,料金表!$G$6:$H$8,2,FALSE()))))</f>
        <v/>
      </c>
      <c r="L88" s="8" t="str">
        <f t="shared" si="10"/>
        <v/>
      </c>
      <c r="M88" s="1" t="str">
        <f t="shared" si="11"/>
        <v/>
      </c>
    </row>
    <row r="89" spans="1:13" ht="27" customHeight="1">
      <c r="A89" s="8" t="str">
        <f t="shared" si="8"/>
        <v/>
      </c>
      <c r="B89" s="13"/>
      <c r="C89" s="13"/>
      <c r="D89" s="13"/>
      <c r="E89" s="9" t="str">
        <f t="shared" si="9"/>
        <v/>
      </c>
      <c r="F89" s="14"/>
      <c r="G89" s="14"/>
      <c r="H89" s="14"/>
      <c r="I89" s="14"/>
      <c r="J89" s="14"/>
      <c r="K89" s="10" t="str">
        <f>IF(COUNTA(B89:D89,F89:J89)=0,"",IF(OR(AND(F89&lt;&gt;"",ISERROR(VLOOKUP(VALUE(F89),料金表!$A$6:$B$8,2,FALSE()))),AND(G89&lt;&gt;"",ISERROR(VLOOKUP(VALUE(G89),料金表!$D$6:$E$8,2,FALSE()))),AND(H89&lt;&gt;"",ISERROR(VLOOKUP(H89,料金表!$G$6:$H$8,2,FALSE())))),"要確認",IF(F89="",0,VLOOKUP(VALUE(F89),料金表!$A$6:$B$8,2,FALSE()))+IF(G89="",0,VLOOKUP(VALUE(G89),料金表!$D$6:$E$8,2,FALSE()))+IF(H89="",0,VLOOKUP(H89,料金表!$G$6:$H$8,2,FALSE()))))</f>
        <v/>
      </c>
      <c r="L89" s="8" t="str">
        <f t="shared" si="10"/>
        <v/>
      </c>
      <c r="M89" s="1" t="str">
        <f t="shared" si="11"/>
        <v/>
      </c>
    </row>
    <row r="90" spans="1:13" ht="27" customHeight="1">
      <c r="A90" s="8" t="str">
        <f t="shared" si="8"/>
        <v/>
      </c>
      <c r="B90" s="13"/>
      <c r="C90" s="13"/>
      <c r="D90" s="13"/>
      <c r="E90" s="9" t="str">
        <f t="shared" si="9"/>
        <v/>
      </c>
      <c r="F90" s="14"/>
      <c r="G90" s="14"/>
      <c r="H90" s="14"/>
      <c r="I90" s="14"/>
      <c r="J90" s="14"/>
      <c r="K90" s="10" t="str">
        <f>IF(COUNTA(B90:D90,F90:J90)=0,"",IF(OR(AND(F90&lt;&gt;"",ISERROR(VLOOKUP(VALUE(F90),料金表!$A$6:$B$8,2,FALSE()))),AND(G90&lt;&gt;"",ISERROR(VLOOKUP(VALUE(G90),料金表!$D$6:$E$8,2,FALSE()))),AND(H90&lt;&gt;"",ISERROR(VLOOKUP(H90,料金表!$G$6:$H$8,2,FALSE())))),"要確認",IF(F90="",0,VLOOKUP(VALUE(F90),料金表!$A$6:$B$8,2,FALSE()))+IF(G90="",0,VLOOKUP(VALUE(G90),料金表!$D$6:$E$8,2,FALSE()))+IF(H90="",0,VLOOKUP(H90,料金表!$G$6:$H$8,2,FALSE()))))</f>
        <v/>
      </c>
      <c r="L90" s="8" t="str">
        <f t="shared" si="10"/>
        <v/>
      </c>
      <c r="M90" s="1" t="str">
        <f t="shared" si="11"/>
        <v/>
      </c>
    </row>
    <row r="91" spans="1:13" ht="27" customHeight="1">
      <c r="A91" s="8" t="str">
        <f t="shared" si="8"/>
        <v/>
      </c>
      <c r="B91" s="13"/>
      <c r="C91" s="13"/>
      <c r="D91" s="13"/>
      <c r="E91" s="9" t="str">
        <f t="shared" si="9"/>
        <v/>
      </c>
      <c r="F91" s="14"/>
      <c r="G91" s="14"/>
      <c r="H91" s="14"/>
      <c r="I91" s="14"/>
      <c r="J91" s="14"/>
      <c r="K91" s="10" t="str">
        <f>IF(COUNTA(B91:D91,F91:J91)=0,"",IF(OR(AND(F91&lt;&gt;"",ISERROR(VLOOKUP(VALUE(F91),料金表!$A$6:$B$8,2,FALSE()))),AND(G91&lt;&gt;"",ISERROR(VLOOKUP(VALUE(G91),料金表!$D$6:$E$8,2,FALSE()))),AND(H91&lt;&gt;"",ISERROR(VLOOKUP(H91,料金表!$G$6:$H$8,2,FALSE())))),"要確認",IF(F91="",0,VLOOKUP(VALUE(F91),料金表!$A$6:$B$8,2,FALSE()))+IF(G91="",0,VLOOKUP(VALUE(G91),料金表!$D$6:$E$8,2,FALSE()))+IF(H91="",0,VLOOKUP(H91,料金表!$G$6:$H$8,2,FALSE()))))</f>
        <v/>
      </c>
      <c r="L91" s="8" t="str">
        <f t="shared" si="10"/>
        <v/>
      </c>
      <c r="M91" s="1" t="str">
        <f t="shared" si="11"/>
        <v/>
      </c>
    </row>
    <row r="92" spans="1:13" ht="27" customHeight="1">
      <c r="A92" s="8" t="str">
        <f t="shared" si="8"/>
        <v/>
      </c>
      <c r="B92" s="13"/>
      <c r="C92" s="13"/>
      <c r="D92" s="13"/>
      <c r="E92" s="9" t="str">
        <f t="shared" si="9"/>
        <v/>
      </c>
      <c r="F92" s="14"/>
      <c r="G92" s="14"/>
      <c r="H92" s="14"/>
      <c r="I92" s="14"/>
      <c r="J92" s="14"/>
      <c r="K92" s="10" t="str">
        <f>IF(COUNTA(B92:D92,F92:J92)=0,"",IF(OR(AND(F92&lt;&gt;"",ISERROR(VLOOKUP(VALUE(F92),料金表!$A$6:$B$8,2,FALSE()))),AND(G92&lt;&gt;"",ISERROR(VLOOKUP(VALUE(G92),料金表!$D$6:$E$8,2,FALSE()))),AND(H92&lt;&gt;"",ISERROR(VLOOKUP(H92,料金表!$G$6:$H$8,2,FALSE())))),"要確認",IF(F92="",0,VLOOKUP(VALUE(F92),料金表!$A$6:$B$8,2,FALSE()))+IF(G92="",0,VLOOKUP(VALUE(G92),料金表!$D$6:$E$8,2,FALSE()))+IF(H92="",0,VLOOKUP(H92,料金表!$G$6:$H$8,2,FALSE()))))</f>
        <v/>
      </c>
      <c r="L92" s="8" t="str">
        <f t="shared" si="10"/>
        <v/>
      </c>
      <c r="M92" s="1" t="str">
        <f t="shared" si="11"/>
        <v/>
      </c>
    </row>
    <row r="93" spans="1:13" ht="27" customHeight="1">
      <c r="A93" s="8" t="str">
        <f t="shared" si="8"/>
        <v/>
      </c>
      <c r="B93" s="13"/>
      <c r="C93" s="13"/>
      <c r="D93" s="13"/>
      <c r="E93" s="9" t="str">
        <f t="shared" si="9"/>
        <v/>
      </c>
      <c r="F93" s="14"/>
      <c r="G93" s="14"/>
      <c r="H93" s="14"/>
      <c r="I93" s="14"/>
      <c r="J93" s="14"/>
      <c r="K93" s="10" t="str">
        <f>IF(COUNTA(B93:D93,F93:J93)=0,"",IF(OR(AND(F93&lt;&gt;"",ISERROR(VLOOKUP(VALUE(F93),料金表!$A$6:$B$8,2,FALSE()))),AND(G93&lt;&gt;"",ISERROR(VLOOKUP(VALUE(G93),料金表!$D$6:$E$8,2,FALSE()))),AND(H93&lt;&gt;"",ISERROR(VLOOKUP(H93,料金表!$G$6:$H$8,2,FALSE())))),"要確認",IF(F93="",0,VLOOKUP(VALUE(F93),料金表!$A$6:$B$8,2,FALSE()))+IF(G93="",0,VLOOKUP(VALUE(G93),料金表!$D$6:$E$8,2,FALSE()))+IF(H93="",0,VLOOKUP(H93,料金表!$G$6:$H$8,2,FALSE()))))</f>
        <v/>
      </c>
      <c r="L93" s="8" t="str">
        <f t="shared" si="10"/>
        <v/>
      </c>
      <c r="M93" s="1" t="str">
        <f t="shared" si="11"/>
        <v/>
      </c>
    </row>
    <row r="94" spans="1:13" ht="27" customHeight="1">
      <c r="A94" s="8" t="str">
        <f t="shared" si="8"/>
        <v/>
      </c>
      <c r="B94" s="13"/>
      <c r="C94" s="13"/>
      <c r="D94" s="13"/>
      <c r="E94" s="9" t="str">
        <f t="shared" si="9"/>
        <v/>
      </c>
      <c r="F94" s="14"/>
      <c r="G94" s="14"/>
      <c r="H94" s="14"/>
      <c r="I94" s="14"/>
      <c r="J94" s="14"/>
      <c r="K94" s="10" t="str">
        <f>IF(COUNTA(B94:D94,F94:J94)=0,"",IF(OR(AND(F94&lt;&gt;"",ISERROR(VLOOKUP(VALUE(F94),料金表!$A$6:$B$8,2,FALSE()))),AND(G94&lt;&gt;"",ISERROR(VLOOKUP(VALUE(G94),料金表!$D$6:$E$8,2,FALSE()))),AND(H94&lt;&gt;"",ISERROR(VLOOKUP(H94,料金表!$G$6:$H$8,2,FALSE())))),"要確認",IF(F94="",0,VLOOKUP(VALUE(F94),料金表!$A$6:$B$8,2,FALSE()))+IF(G94="",0,VLOOKUP(VALUE(G94),料金表!$D$6:$E$8,2,FALSE()))+IF(H94="",0,VLOOKUP(H94,料金表!$G$6:$H$8,2,FALSE()))))</f>
        <v/>
      </c>
      <c r="L94" s="8" t="str">
        <f t="shared" si="10"/>
        <v/>
      </c>
      <c r="M94" s="1" t="str">
        <f t="shared" si="11"/>
        <v/>
      </c>
    </row>
    <row r="95" spans="1:13" ht="27" customHeight="1">
      <c r="A95" s="8" t="str">
        <f t="shared" si="8"/>
        <v/>
      </c>
      <c r="B95" s="13"/>
      <c r="C95" s="13"/>
      <c r="D95" s="13"/>
      <c r="E95" s="9" t="str">
        <f t="shared" si="9"/>
        <v/>
      </c>
      <c r="F95" s="14"/>
      <c r="G95" s="14"/>
      <c r="H95" s="14"/>
      <c r="I95" s="14"/>
      <c r="J95" s="14"/>
      <c r="K95" s="10" t="str">
        <f>IF(COUNTA(B95:D95,F95:J95)=0,"",IF(OR(AND(F95&lt;&gt;"",ISERROR(VLOOKUP(VALUE(F95),料金表!$A$6:$B$8,2,FALSE()))),AND(G95&lt;&gt;"",ISERROR(VLOOKUP(VALUE(G95),料金表!$D$6:$E$8,2,FALSE()))),AND(H95&lt;&gt;"",ISERROR(VLOOKUP(H95,料金表!$G$6:$H$8,2,FALSE())))),"要確認",IF(F95="",0,VLOOKUP(VALUE(F95),料金表!$A$6:$B$8,2,FALSE()))+IF(G95="",0,VLOOKUP(VALUE(G95),料金表!$D$6:$E$8,2,FALSE()))+IF(H95="",0,VLOOKUP(H95,料金表!$G$6:$H$8,2,FALSE()))))</f>
        <v/>
      </c>
      <c r="L95" s="8" t="str">
        <f t="shared" si="10"/>
        <v/>
      </c>
      <c r="M95" s="1" t="str">
        <f t="shared" si="11"/>
        <v/>
      </c>
    </row>
    <row r="96" spans="1:13" ht="27" customHeight="1">
      <c r="A96" s="8" t="str">
        <f t="shared" si="8"/>
        <v/>
      </c>
      <c r="B96" s="13"/>
      <c r="C96" s="13"/>
      <c r="D96" s="13"/>
      <c r="E96" s="9" t="str">
        <f t="shared" si="9"/>
        <v/>
      </c>
      <c r="F96" s="14"/>
      <c r="G96" s="14"/>
      <c r="H96" s="14"/>
      <c r="I96" s="14"/>
      <c r="J96" s="14"/>
      <c r="K96" s="10" t="str">
        <f>IF(COUNTA(B96:D96,F96:J96)=0,"",IF(OR(AND(F96&lt;&gt;"",ISERROR(VLOOKUP(VALUE(F96),料金表!$A$6:$B$8,2,FALSE()))),AND(G96&lt;&gt;"",ISERROR(VLOOKUP(VALUE(G96),料金表!$D$6:$E$8,2,FALSE()))),AND(H96&lt;&gt;"",ISERROR(VLOOKUP(H96,料金表!$G$6:$H$8,2,FALSE())))),"要確認",IF(F96="",0,VLOOKUP(VALUE(F96),料金表!$A$6:$B$8,2,FALSE()))+IF(G96="",0,VLOOKUP(VALUE(G96),料金表!$D$6:$E$8,2,FALSE()))+IF(H96="",0,VLOOKUP(H96,料金表!$G$6:$H$8,2,FALSE()))))</f>
        <v/>
      </c>
      <c r="L96" s="8" t="str">
        <f t="shared" si="10"/>
        <v/>
      </c>
      <c r="M96" s="1" t="str">
        <f t="shared" si="11"/>
        <v/>
      </c>
    </row>
    <row r="97" spans="1:13" ht="27" customHeight="1">
      <c r="A97" s="8" t="str">
        <f t="shared" si="8"/>
        <v/>
      </c>
      <c r="B97" s="13"/>
      <c r="C97" s="13"/>
      <c r="D97" s="13"/>
      <c r="E97" s="9" t="str">
        <f t="shared" si="9"/>
        <v/>
      </c>
      <c r="F97" s="14"/>
      <c r="G97" s="14"/>
      <c r="H97" s="14"/>
      <c r="I97" s="14"/>
      <c r="J97" s="14"/>
      <c r="K97" s="10" t="str">
        <f>IF(COUNTA(B97:D97,F97:J97)=0,"",IF(OR(AND(F97&lt;&gt;"",ISERROR(VLOOKUP(VALUE(F97),料金表!$A$6:$B$8,2,FALSE()))),AND(G97&lt;&gt;"",ISERROR(VLOOKUP(VALUE(G97),料金表!$D$6:$E$8,2,FALSE()))),AND(H97&lt;&gt;"",ISERROR(VLOOKUP(H97,料金表!$G$6:$H$8,2,FALSE())))),"要確認",IF(F97="",0,VLOOKUP(VALUE(F97),料金表!$A$6:$B$8,2,FALSE()))+IF(G97="",0,VLOOKUP(VALUE(G97),料金表!$D$6:$E$8,2,FALSE()))+IF(H97="",0,VLOOKUP(H97,料金表!$G$6:$H$8,2,FALSE()))))</f>
        <v/>
      </c>
      <c r="L97" s="8" t="str">
        <f t="shared" si="10"/>
        <v/>
      </c>
      <c r="M97" s="1" t="str">
        <f t="shared" si="11"/>
        <v/>
      </c>
    </row>
    <row r="98" spans="1:13" ht="27" customHeight="1">
      <c r="A98" s="8" t="str">
        <f t="shared" si="8"/>
        <v/>
      </c>
      <c r="B98" s="13"/>
      <c r="C98" s="13"/>
      <c r="D98" s="13"/>
      <c r="E98" s="9" t="str">
        <f t="shared" si="9"/>
        <v/>
      </c>
      <c r="F98" s="14"/>
      <c r="G98" s="14"/>
      <c r="H98" s="14"/>
      <c r="I98" s="14"/>
      <c r="J98" s="14"/>
      <c r="K98" s="10" t="str">
        <f>IF(COUNTA(B98:D98,F98:J98)=0,"",IF(OR(AND(F98&lt;&gt;"",ISERROR(VLOOKUP(VALUE(F98),料金表!$A$6:$B$8,2,FALSE()))),AND(G98&lt;&gt;"",ISERROR(VLOOKUP(VALUE(G98),料金表!$D$6:$E$8,2,FALSE()))),AND(H98&lt;&gt;"",ISERROR(VLOOKUP(H98,料金表!$G$6:$H$8,2,FALSE())))),"要確認",IF(F98="",0,VLOOKUP(VALUE(F98),料金表!$A$6:$B$8,2,FALSE()))+IF(G98="",0,VLOOKUP(VALUE(G98),料金表!$D$6:$E$8,2,FALSE()))+IF(H98="",0,VLOOKUP(H98,料金表!$G$6:$H$8,2,FALSE()))))</f>
        <v/>
      </c>
      <c r="L98" s="8" t="str">
        <f t="shared" si="10"/>
        <v/>
      </c>
      <c r="M98" s="1" t="str">
        <f t="shared" si="11"/>
        <v/>
      </c>
    </row>
    <row r="99" spans="1:13" ht="27" customHeight="1">
      <c r="A99" s="8" t="str">
        <f t="shared" si="8"/>
        <v/>
      </c>
      <c r="B99" s="13"/>
      <c r="C99" s="13"/>
      <c r="D99" s="13"/>
      <c r="E99" s="9" t="str">
        <f t="shared" si="9"/>
        <v/>
      </c>
      <c r="F99" s="14"/>
      <c r="G99" s="14"/>
      <c r="H99" s="14"/>
      <c r="I99" s="14"/>
      <c r="J99" s="14"/>
      <c r="K99" s="10" t="str">
        <f>IF(COUNTA(B99:D99,F99:J99)=0,"",IF(OR(AND(F99&lt;&gt;"",ISERROR(VLOOKUP(VALUE(F99),料金表!$A$6:$B$8,2,FALSE()))),AND(G99&lt;&gt;"",ISERROR(VLOOKUP(VALUE(G99),料金表!$D$6:$E$8,2,FALSE()))),AND(H99&lt;&gt;"",ISERROR(VLOOKUP(H99,料金表!$G$6:$H$8,2,FALSE())))),"要確認",IF(F99="",0,VLOOKUP(VALUE(F99),料金表!$A$6:$B$8,2,FALSE()))+IF(G99="",0,VLOOKUP(VALUE(G99),料金表!$D$6:$E$8,2,FALSE()))+IF(H99="",0,VLOOKUP(H99,料金表!$G$6:$H$8,2,FALSE()))))</f>
        <v/>
      </c>
      <c r="L99" s="8" t="str">
        <f t="shared" si="10"/>
        <v/>
      </c>
      <c r="M99" s="1" t="str">
        <f t="shared" si="11"/>
        <v/>
      </c>
    </row>
    <row r="100" spans="1:13" ht="27" customHeight="1">
      <c r="A100" s="8" t="str">
        <f t="shared" si="8"/>
        <v/>
      </c>
      <c r="B100" s="13"/>
      <c r="C100" s="13"/>
      <c r="D100" s="13"/>
      <c r="E100" s="9" t="str">
        <f t="shared" si="9"/>
        <v/>
      </c>
      <c r="F100" s="14"/>
      <c r="G100" s="14"/>
      <c r="H100" s="14"/>
      <c r="I100" s="14"/>
      <c r="J100" s="14"/>
      <c r="K100" s="10" t="str">
        <f>IF(COUNTA(B100:D100,F100:J100)=0,"",IF(OR(AND(F100&lt;&gt;"",ISERROR(VLOOKUP(VALUE(F100),料金表!$A$6:$B$8,2,FALSE()))),AND(G100&lt;&gt;"",ISERROR(VLOOKUP(VALUE(G100),料金表!$D$6:$E$8,2,FALSE()))),AND(H100&lt;&gt;"",ISERROR(VLOOKUP(H100,料金表!$G$6:$H$8,2,FALSE())))),"要確認",IF(F100="",0,VLOOKUP(VALUE(F100),料金表!$A$6:$B$8,2,FALSE()))+IF(G100="",0,VLOOKUP(VALUE(G100),料金表!$D$6:$E$8,2,FALSE()))+IF(H100="",0,VLOOKUP(H100,料金表!$G$6:$H$8,2,FALSE()))))</f>
        <v/>
      </c>
      <c r="L100" s="8" t="str">
        <f t="shared" si="10"/>
        <v/>
      </c>
      <c r="M100" s="1" t="str">
        <f t="shared" si="11"/>
        <v/>
      </c>
    </row>
    <row r="101" spans="1:13" ht="27" customHeight="1">
      <c r="A101" s="8" t="str">
        <f t="shared" si="8"/>
        <v/>
      </c>
      <c r="B101" s="13"/>
      <c r="C101" s="13"/>
      <c r="D101" s="13"/>
      <c r="E101" s="9" t="str">
        <f t="shared" si="9"/>
        <v/>
      </c>
      <c r="F101" s="14"/>
      <c r="G101" s="14"/>
      <c r="H101" s="14"/>
      <c r="I101" s="14"/>
      <c r="J101" s="14"/>
      <c r="K101" s="10" t="str">
        <f>IF(COUNTA(B101:D101,F101:J101)=0,"",IF(OR(AND(F101&lt;&gt;"",ISERROR(VLOOKUP(VALUE(F101),料金表!$A$6:$B$8,2,FALSE()))),AND(G101&lt;&gt;"",ISERROR(VLOOKUP(VALUE(G101),料金表!$D$6:$E$8,2,FALSE()))),AND(H101&lt;&gt;"",ISERROR(VLOOKUP(H101,料金表!$G$6:$H$8,2,FALSE())))),"要確認",IF(F101="",0,VLOOKUP(VALUE(F101),料金表!$A$6:$B$8,2,FALSE()))+IF(G101="",0,VLOOKUP(VALUE(G101),料金表!$D$6:$E$8,2,FALSE()))+IF(H101="",0,VLOOKUP(H101,料金表!$G$6:$H$8,2,FALSE()))))</f>
        <v/>
      </c>
      <c r="L101" s="8" t="str">
        <f t="shared" si="10"/>
        <v/>
      </c>
      <c r="M101" s="1" t="str">
        <f t="shared" si="11"/>
        <v/>
      </c>
    </row>
    <row r="102" spans="1:13" ht="27" customHeight="1">
      <c r="A102" s="8" t="str">
        <f t="shared" si="8"/>
        <v/>
      </c>
      <c r="B102" s="13"/>
      <c r="C102" s="13"/>
      <c r="D102" s="13"/>
      <c r="E102" s="9" t="str">
        <f t="shared" si="9"/>
        <v/>
      </c>
      <c r="F102" s="14"/>
      <c r="G102" s="14"/>
      <c r="H102" s="14"/>
      <c r="I102" s="14"/>
      <c r="J102" s="14"/>
      <c r="K102" s="10" t="str">
        <f>IF(COUNTA(B102:D102,F102:J102)=0,"",IF(OR(AND(F102&lt;&gt;"",ISERROR(VLOOKUP(VALUE(F102),料金表!$A$6:$B$8,2,FALSE()))),AND(G102&lt;&gt;"",ISERROR(VLOOKUP(VALUE(G102),料金表!$D$6:$E$8,2,FALSE()))),AND(H102&lt;&gt;"",ISERROR(VLOOKUP(H102,料金表!$G$6:$H$8,2,FALSE())))),"要確認",IF(F102="",0,VLOOKUP(VALUE(F102),料金表!$A$6:$B$8,2,FALSE()))+IF(G102="",0,VLOOKUP(VALUE(G102),料金表!$D$6:$E$8,2,FALSE()))+IF(H102="",0,VLOOKUP(H102,料金表!$G$6:$H$8,2,FALSE()))))</f>
        <v/>
      </c>
      <c r="L102" s="8" t="str">
        <f t="shared" si="10"/>
        <v/>
      </c>
      <c r="M102" s="1" t="str">
        <f t="shared" si="11"/>
        <v/>
      </c>
    </row>
    <row r="103" spans="1:13" ht="27" customHeight="1">
      <c r="A103" s="8" t="str">
        <f t="shared" si="8"/>
        <v/>
      </c>
      <c r="B103" s="13"/>
      <c r="C103" s="13"/>
      <c r="D103" s="13"/>
      <c r="E103" s="9" t="str">
        <f t="shared" si="9"/>
        <v/>
      </c>
      <c r="F103" s="14"/>
      <c r="G103" s="14"/>
      <c r="H103" s="14"/>
      <c r="I103" s="14"/>
      <c r="J103" s="14"/>
      <c r="K103" s="10" t="str">
        <f>IF(COUNTA(B103:D103,F103:J103)=0,"",IF(OR(AND(F103&lt;&gt;"",ISERROR(VLOOKUP(VALUE(F103),料金表!$A$6:$B$8,2,FALSE()))),AND(G103&lt;&gt;"",ISERROR(VLOOKUP(VALUE(G103),料金表!$D$6:$E$8,2,FALSE()))),AND(H103&lt;&gt;"",ISERROR(VLOOKUP(H103,料金表!$G$6:$H$8,2,FALSE())))),"要確認",IF(F103="",0,VLOOKUP(VALUE(F103),料金表!$A$6:$B$8,2,FALSE()))+IF(G103="",0,VLOOKUP(VALUE(G103),料金表!$D$6:$E$8,2,FALSE()))+IF(H103="",0,VLOOKUP(H103,料金表!$G$6:$H$8,2,FALSE()))))</f>
        <v/>
      </c>
      <c r="L103" s="8" t="str">
        <f t="shared" si="10"/>
        <v/>
      </c>
      <c r="M103" s="1" t="str">
        <f t="shared" si="11"/>
        <v/>
      </c>
    </row>
    <row r="104" spans="1:13" ht="27" customHeight="1">
      <c r="A104" s="8" t="str">
        <f t="shared" si="8"/>
        <v/>
      </c>
      <c r="B104" s="13"/>
      <c r="C104" s="13"/>
      <c r="D104" s="13"/>
      <c r="E104" s="9" t="str">
        <f t="shared" si="9"/>
        <v/>
      </c>
      <c r="F104" s="14"/>
      <c r="G104" s="14"/>
      <c r="H104" s="14"/>
      <c r="I104" s="14"/>
      <c r="J104" s="14"/>
      <c r="K104" s="10" t="str">
        <f>IF(COUNTA(B104:D104,F104:J104)=0,"",IF(OR(AND(F104&lt;&gt;"",ISERROR(VLOOKUP(VALUE(F104),料金表!$A$6:$B$8,2,FALSE()))),AND(G104&lt;&gt;"",ISERROR(VLOOKUP(VALUE(G104),料金表!$D$6:$E$8,2,FALSE()))),AND(H104&lt;&gt;"",ISERROR(VLOOKUP(H104,料金表!$G$6:$H$8,2,FALSE())))),"要確認",IF(F104="",0,VLOOKUP(VALUE(F104),料金表!$A$6:$B$8,2,FALSE()))+IF(G104="",0,VLOOKUP(VALUE(G104),料金表!$D$6:$E$8,2,FALSE()))+IF(H104="",0,VLOOKUP(H104,料金表!$G$6:$H$8,2,FALSE()))))</f>
        <v/>
      </c>
      <c r="L104" s="8" t="str">
        <f t="shared" si="10"/>
        <v/>
      </c>
      <c r="M104" s="1" t="str">
        <f t="shared" si="11"/>
        <v/>
      </c>
    </row>
    <row r="105" spans="1:13" ht="27" customHeight="1">
      <c r="A105" s="8" t="str">
        <f t="shared" si="8"/>
        <v/>
      </c>
      <c r="B105" s="13"/>
      <c r="C105" s="13"/>
      <c r="D105" s="13"/>
      <c r="E105" s="9" t="str">
        <f t="shared" si="9"/>
        <v/>
      </c>
      <c r="F105" s="14"/>
      <c r="G105" s="14"/>
      <c r="H105" s="14"/>
      <c r="I105" s="14"/>
      <c r="J105" s="14"/>
      <c r="K105" s="10" t="str">
        <f>IF(COUNTA(B105:D105,F105:J105)=0,"",IF(OR(AND(F105&lt;&gt;"",ISERROR(VLOOKUP(VALUE(F105),料金表!$A$6:$B$8,2,FALSE()))),AND(G105&lt;&gt;"",ISERROR(VLOOKUP(VALUE(G105),料金表!$D$6:$E$8,2,FALSE()))),AND(H105&lt;&gt;"",ISERROR(VLOOKUP(H105,料金表!$G$6:$H$8,2,FALSE())))),"要確認",IF(F105="",0,VLOOKUP(VALUE(F105),料金表!$A$6:$B$8,2,FALSE()))+IF(G105="",0,VLOOKUP(VALUE(G105),料金表!$D$6:$E$8,2,FALSE()))+IF(H105="",0,VLOOKUP(H105,料金表!$G$6:$H$8,2,FALSE()))))</f>
        <v/>
      </c>
      <c r="L105" s="8" t="str">
        <f t="shared" si="10"/>
        <v/>
      </c>
      <c r="M105" s="1" t="str">
        <f t="shared" si="11"/>
        <v/>
      </c>
    </row>
    <row r="106" spans="1:13" ht="27" customHeight="1">
      <c r="A106" s="8" t="str">
        <f t="shared" si="8"/>
        <v/>
      </c>
      <c r="B106" s="13"/>
      <c r="C106" s="13"/>
      <c r="D106" s="13"/>
      <c r="E106" s="9" t="str">
        <f t="shared" si="9"/>
        <v/>
      </c>
      <c r="F106" s="14"/>
      <c r="G106" s="14"/>
      <c r="H106" s="14"/>
      <c r="I106" s="14"/>
      <c r="J106" s="14"/>
      <c r="K106" s="10" t="str">
        <f>IF(COUNTA(B106:D106,F106:J106)=0,"",IF(OR(AND(F106&lt;&gt;"",ISERROR(VLOOKUP(VALUE(F106),料金表!$A$6:$B$8,2,FALSE()))),AND(G106&lt;&gt;"",ISERROR(VLOOKUP(VALUE(G106),料金表!$D$6:$E$8,2,FALSE()))),AND(H106&lt;&gt;"",ISERROR(VLOOKUP(H106,料金表!$G$6:$H$8,2,FALSE())))),"要確認",IF(F106="",0,VLOOKUP(VALUE(F106),料金表!$A$6:$B$8,2,FALSE()))+IF(G106="",0,VLOOKUP(VALUE(G106),料金表!$D$6:$E$8,2,FALSE()))+IF(H106="",0,VLOOKUP(H106,料金表!$G$6:$H$8,2,FALSE()))))</f>
        <v/>
      </c>
      <c r="L106" s="8" t="str">
        <f t="shared" si="10"/>
        <v/>
      </c>
      <c r="M106" s="1" t="str">
        <f t="shared" si="11"/>
        <v/>
      </c>
    </row>
    <row r="107" spans="1:13" ht="27" customHeight="1">
      <c r="A107" s="8" t="str">
        <f t="shared" si="8"/>
        <v/>
      </c>
      <c r="B107" s="13"/>
      <c r="C107" s="13"/>
      <c r="D107" s="13"/>
      <c r="E107" s="9" t="str">
        <f t="shared" si="9"/>
        <v/>
      </c>
      <c r="F107" s="14"/>
      <c r="G107" s="14"/>
      <c r="H107" s="14"/>
      <c r="I107" s="14"/>
      <c r="J107" s="14"/>
      <c r="K107" s="10" t="str">
        <f>IF(COUNTA(B107:D107,F107:J107)=0,"",IF(OR(AND(F107&lt;&gt;"",ISERROR(VLOOKUP(VALUE(F107),料金表!$A$6:$B$8,2,FALSE()))),AND(G107&lt;&gt;"",ISERROR(VLOOKUP(VALUE(G107),料金表!$D$6:$E$8,2,FALSE()))),AND(H107&lt;&gt;"",ISERROR(VLOOKUP(H107,料金表!$G$6:$H$8,2,FALSE())))),"要確認",IF(F107="",0,VLOOKUP(VALUE(F107),料金表!$A$6:$B$8,2,FALSE()))+IF(G107="",0,VLOOKUP(VALUE(G107),料金表!$D$6:$E$8,2,FALSE()))+IF(H107="",0,VLOOKUP(H107,料金表!$G$6:$H$8,2,FALSE()))))</f>
        <v/>
      </c>
      <c r="L107" s="8" t="str">
        <f t="shared" si="10"/>
        <v/>
      </c>
      <c r="M107" s="1" t="str">
        <f t="shared" si="11"/>
        <v/>
      </c>
    </row>
    <row r="108" spans="1:13" ht="27" customHeight="1">
      <c r="A108" s="8" t="str">
        <f t="shared" si="8"/>
        <v/>
      </c>
      <c r="B108" s="13"/>
      <c r="C108" s="13"/>
      <c r="D108" s="13"/>
      <c r="E108" s="9" t="str">
        <f t="shared" si="9"/>
        <v/>
      </c>
      <c r="F108" s="14"/>
      <c r="G108" s="14"/>
      <c r="H108" s="14"/>
      <c r="I108" s="14"/>
      <c r="J108" s="14"/>
      <c r="K108" s="10" t="str">
        <f>IF(COUNTA(B108:D108,F108:J108)=0,"",IF(OR(AND(F108&lt;&gt;"",ISERROR(VLOOKUP(VALUE(F108),料金表!$A$6:$B$8,2,FALSE()))),AND(G108&lt;&gt;"",ISERROR(VLOOKUP(VALUE(G108),料金表!$D$6:$E$8,2,FALSE()))),AND(H108&lt;&gt;"",ISERROR(VLOOKUP(H108,料金表!$G$6:$H$8,2,FALSE())))),"要確認",IF(F108="",0,VLOOKUP(VALUE(F108),料金表!$A$6:$B$8,2,FALSE()))+IF(G108="",0,VLOOKUP(VALUE(G108),料金表!$D$6:$E$8,2,FALSE()))+IF(H108="",0,VLOOKUP(H108,料金表!$G$6:$H$8,2,FALSE()))))</f>
        <v/>
      </c>
      <c r="L108" s="8" t="str">
        <f t="shared" si="10"/>
        <v/>
      </c>
      <c r="M108" s="1" t="str">
        <f t="shared" si="11"/>
        <v/>
      </c>
    </row>
    <row r="109" spans="1:13" ht="27" customHeight="1">
      <c r="A109" s="8" t="str">
        <f t="shared" ref="A109:A140" si="12">IF(COUNTA(B109:D109,F109:J109)=0,"",ROW()-12)</f>
        <v/>
      </c>
      <c r="B109" s="13"/>
      <c r="C109" s="13"/>
      <c r="D109" s="13"/>
      <c r="E109" s="9" t="str">
        <f t="shared" ref="E109:E140" si="13">IF(COUNTA(B109:D109,F109:J109)=0,"",IF(COUNTA($C$4)=0,"",$C$4))</f>
        <v/>
      </c>
      <c r="F109" s="14"/>
      <c r="G109" s="14"/>
      <c r="H109" s="14"/>
      <c r="I109" s="14"/>
      <c r="J109" s="14"/>
      <c r="K109" s="10" t="str">
        <f>IF(COUNTA(B109:D109,F109:J109)=0,"",IF(OR(AND(F109&lt;&gt;"",ISERROR(VLOOKUP(VALUE(F109),料金表!$A$6:$B$8,2,FALSE()))),AND(G109&lt;&gt;"",ISERROR(VLOOKUP(VALUE(G109),料金表!$D$6:$E$8,2,FALSE()))),AND(H109&lt;&gt;"",ISERROR(VLOOKUP(H109,料金表!$G$6:$H$8,2,FALSE())))),"要確認",IF(F109="",0,VLOOKUP(VALUE(F109),料金表!$A$6:$B$8,2,FALSE()))+IF(G109="",0,VLOOKUP(VALUE(G109),料金表!$D$6:$E$8,2,FALSE()))+IF(H109="",0,VLOOKUP(H109,料金表!$G$6:$H$8,2,FALSE()))))</f>
        <v/>
      </c>
      <c r="L109" s="8" t="str">
        <f t="shared" ref="L109:L140" si="14">IF(COUNTA(B109:D109,F109:J109)=0,"",IF(OR(B109="",C109="",D109=""),"要確認：氏名・カナ・生年月日",IF(NOT(AND(ISTEXT(B109),LEN(B109)-LEN(SUBSTITUTE(B109," ",""))=1,LEFT(B109,1)&lt;&gt;" ",RIGHT(B109,1)&lt;&gt;" ",ISERROR(SEARCH("　",B109)))),"要確認：姓と名に半角スペース",IF(NOT(IFERROR(AND(ISTEXT(D109),LEN(D109)&gt;=8,LEN(D109)&lt;=10,MID(D109,5,1)="/",LEN(D109)-LEN(SUBSTITUTE(D109,"/",""))=2,FIND("/",D109,6)&gt;=7,FIND("/",D109,6)&lt;=8,LEN(D109)-FIND("/",D109,6)&gt;=1,LEN(D109)-FIND("/",D109,6)&lt;=2,YEAR(DATE(VALUE(LEFT(D109,4)),VALUE(MID(D109,6,FIND("/",D109,6)-6)),VALUE(MID(D109,FIND("/",D109,6)+1,2))))=VALUE(LEFT(D109,4)),MONTH(DATE(VALUE(LEFT(D109,4)),VALUE(MID(D109,6,FIND("/",D109,6)-6)),VALUE(MID(D109,FIND("/",D109,6)+1,2))))=VALUE(MID(D109,6,FIND("/",D109,6)-6)),DAY(DATE(VALUE(LEFT(D109,4)),VALUE(MID(D109,6,FIND("/",D109,6)-6)),VALUE(MID(D109,FIND("/",D109,6)+1,2))))=VALUE(MID(D109,FIND("/",D109,6)+1,2)),DATE(VALUE(LEFT(D109,4)),VALUE(MID(D109,6,FIND("/",D109,6)-6)),VALUE(MID(D109,FIND("/",D109,6)+1,2)))&gt;=DATE(1900,1,1),DATE(VALUE(LEFT(D109,4)),VALUE(MID(D109,6,FIND("/",D109,6)-6)),VALUE(MID(D109,FIND("/",D109,6)+1,2)))&lt;=$B$3,NOT(AND(VALUE(LEFT(D109,4))=1900,VALUE(MID(D109,6,FIND("/",D109,6)-6))=2,VALUE(MID(D109,FIND("/",D109,6)+1,2))=29))),FALSE())),"要確認：生年月日は西暦/月/日",IF(COUNTA(F109:H109)=0,"要確認：受験種目",IF(NOT(ISNUMBER(K109)),"要確認：級・段位",IF(AND(I109&lt;&gt;"",NOT(OR(I109="未確認",I109="はい",I109="いいえ"))),"要確認：初受験",IF(OR(AND(F109&lt;&gt;"",COUNTIFS($B$13:$B$212,B109,$M$13:$M$212,M109,$F$13:$F$212,F109)&gt;1),AND(G109&lt;&gt;"",COUNTIFS($B$13:$B$212,B109,$M$13:$M$212,M109,$G$13:$G$212,G109)&gt;1),AND(H109&lt;&gt;"",COUNTIFS($B$13:$B$212,B109,$M$13:$M$212,M109,$H$13:$H$212,H109)&gt;1)),"要確認：同じ種目・級が重複",""))))))))</f>
        <v/>
      </c>
      <c r="M109" s="1" t="str">
        <f t="shared" ref="M109:M140" si="15">IF(D109="","",IFERROR(DATE(VALUE(LEFT(D109,4)),VALUE(MID(D109,6,FIND("/",D109,6)-6)),VALUE(MID(D109,FIND("/",D109,6)+1,2))),""))</f>
        <v/>
      </c>
    </row>
    <row r="110" spans="1:13" ht="27" customHeight="1">
      <c r="A110" s="8" t="str">
        <f t="shared" si="12"/>
        <v/>
      </c>
      <c r="B110" s="13"/>
      <c r="C110" s="13"/>
      <c r="D110" s="13"/>
      <c r="E110" s="9" t="str">
        <f t="shared" si="13"/>
        <v/>
      </c>
      <c r="F110" s="14"/>
      <c r="G110" s="14"/>
      <c r="H110" s="14"/>
      <c r="I110" s="14"/>
      <c r="J110" s="14"/>
      <c r="K110" s="10" t="str">
        <f>IF(COUNTA(B110:D110,F110:J110)=0,"",IF(OR(AND(F110&lt;&gt;"",ISERROR(VLOOKUP(VALUE(F110),料金表!$A$6:$B$8,2,FALSE()))),AND(G110&lt;&gt;"",ISERROR(VLOOKUP(VALUE(G110),料金表!$D$6:$E$8,2,FALSE()))),AND(H110&lt;&gt;"",ISERROR(VLOOKUP(H110,料金表!$G$6:$H$8,2,FALSE())))),"要確認",IF(F110="",0,VLOOKUP(VALUE(F110),料金表!$A$6:$B$8,2,FALSE()))+IF(G110="",0,VLOOKUP(VALUE(G110),料金表!$D$6:$E$8,2,FALSE()))+IF(H110="",0,VLOOKUP(H110,料金表!$G$6:$H$8,2,FALSE()))))</f>
        <v/>
      </c>
      <c r="L110" s="8" t="str">
        <f t="shared" si="14"/>
        <v/>
      </c>
      <c r="M110" s="1" t="str">
        <f t="shared" si="15"/>
        <v/>
      </c>
    </row>
    <row r="111" spans="1:13" ht="27" customHeight="1">
      <c r="A111" s="8" t="str">
        <f t="shared" si="12"/>
        <v/>
      </c>
      <c r="B111" s="13"/>
      <c r="C111" s="13"/>
      <c r="D111" s="13"/>
      <c r="E111" s="9" t="str">
        <f t="shared" si="13"/>
        <v/>
      </c>
      <c r="F111" s="14"/>
      <c r="G111" s="14"/>
      <c r="H111" s="14"/>
      <c r="I111" s="14"/>
      <c r="J111" s="14"/>
      <c r="K111" s="10" t="str">
        <f>IF(COUNTA(B111:D111,F111:J111)=0,"",IF(OR(AND(F111&lt;&gt;"",ISERROR(VLOOKUP(VALUE(F111),料金表!$A$6:$B$8,2,FALSE()))),AND(G111&lt;&gt;"",ISERROR(VLOOKUP(VALUE(G111),料金表!$D$6:$E$8,2,FALSE()))),AND(H111&lt;&gt;"",ISERROR(VLOOKUP(H111,料金表!$G$6:$H$8,2,FALSE())))),"要確認",IF(F111="",0,VLOOKUP(VALUE(F111),料金表!$A$6:$B$8,2,FALSE()))+IF(G111="",0,VLOOKUP(VALUE(G111),料金表!$D$6:$E$8,2,FALSE()))+IF(H111="",0,VLOOKUP(H111,料金表!$G$6:$H$8,2,FALSE()))))</f>
        <v/>
      </c>
      <c r="L111" s="8" t="str">
        <f t="shared" si="14"/>
        <v/>
      </c>
      <c r="M111" s="1" t="str">
        <f t="shared" si="15"/>
        <v/>
      </c>
    </row>
    <row r="112" spans="1:13" ht="27" customHeight="1">
      <c r="A112" s="8" t="str">
        <f t="shared" si="12"/>
        <v/>
      </c>
      <c r="B112" s="13"/>
      <c r="C112" s="13"/>
      <c r="D112" s="13"/>
      <c r="E112" s="9" t="str">
        <f t="shared" si="13"/>
        <v/>
      </c>
      <c r="F112" s="14"/>
      <c r="G112" s="14"/>
      <c r="H112" s="14"/>
      <c r="I112" s="14"/>
      <c r="J112" s="14"/>
      <c r="K112" s="10" t="str">
        <f>IF(COUNTA(B112:D112,F112:J112)=0,"",IF(OR(AND(F112&lt;&gt;"",ISERROR(VLOOKUP(VALUE(F112),料金表!$A$6:$B$8,2,FALSE()))),AND(G112&lt;&gt;"",ISERROR(VLOOKUP(VALUE(G112),料金表!$D$6:$E$8,2,FALSE()))),AND(H112&lt;&gt;"",ISERROR(VLOOKUP(H112,料金表!$G$6:$H$8,2,FALSE())))),"要確認",IF(F112="",0,VLOOKUP(VALUE(F112),料金表!$A$6:$B$8,2,FALSE()))+IF(G112="",0,VLOOKUP(VALUE(G112),料金表!$D$6:$E$8,2,FALSE()))+IF(H112="",0,VLOOKUP(H112,料金表!$G$6:$H$8,2,FALSE()))))</f>
        <v/>
      </c>
      <c r="L112" s="8" t="str">
        <f t="shared" si="14"/>
        <v/>
      </c>
      <c r="M112" s="1" t="str">
        <f t="shared" si="15"/>
        <v/>
      </c>
    </row>
    <row r="113" spans="1:13" ht="27" customHeight="1">
      <c r="A113" s="8" t="str">
        <f t="shared" si="12"/>
        <v/>
      </c>
      <c r="B113" s="13"/>
      <c r="C113" s="13"/>
      <c r="D113" s="13"/>
      <c r="E113" s="9" t="str">
        <f t="shared" si="13"/>
        <v/>
      </c>
      <c r="F113" s="14"/>
      <c r="G113" s="14"/>
      <c r="H113" s="14"/>
      <c r="I113" s="14"/>
      <c r="J113" s="14"/>
      <c r="K113" s="10" t="str">
        <f>IF(COUNTA(B113:D113,F113:J113)=0,"",IF(OR(AND(F113&lt;&gt;"",ISERROR(VLOOKUP(VALUE(F113),料金表!$A$6:$B$8,2,FALSE()))),AND(G113&lt;&gt;"",ISERROR(VLOOKUP(VALUE(G113),料金表!$D$6:$E$8,2,FALSE()))),AND(H113&lt;&gt;"",ISERROR(VLOOKUP(H113,料金表!$G$6:$H$8,2,FALSE())))),"要確認",IF(F113="",0,VLOOKUP(VALUE(F113),料金表!$A$6:$B$8,2,FALSE()))+IF(G113="",0,VLOOKUP(VALUE(G113),料金表!$D$6:$E$8,2,FALSE()))+IF(H113="",0,VLOOKUP(H113,料金表!$G$6:$H$8,2,FALSE()))))</f>
        <v/>
      </c>
      <c r="L113" s="8" t="str">
        <f t="shared" si="14"/>
        <v/>
      </c>
      <c r="M113" s="1" t="str">
        <f t="shared" si="15"/>
        <v/>
      </c>
    </row>
    <row r="114" spans="1:13" ht="27" customHeight="1">
      <c r="A114" s="8" t="str">
        <f t="shared" si="12"/>
        <v/>
      </c>
      <c r="B114" s="13"/>
      <c r="C114" s="13"/>
      <c r="D114" s="13"/>
      <c r="E114" s="9" t="str">
        <f t="shared" si="13"/>
        <v/>
      </c>
      <c r="F114" s="14"/>
      <c r="G114" s="14"/>
      <c r="H114" s="14"/>
      <c r="I114" s="14"/>
      <c r="J114" s="14"/>
      <c r="K114" s="10" t="str">
        <f>IF(COUNTA(B114:D114,F114:J114)=0,"",IF(OR(AND(F114&lt;&gt;"",ISERROR(VLOOKUP(VALUE(F114),料金表!$A$6:$B$8,2,FALSE()))),AND(G114&lt;&gt;"",ISERROR(VLOOKUP(VALUE(G114),料金表!$D$6:$E$8,2,FALSE()))),AND(H114&lt;&gt;"",ISERROR(VLOOKUP(H114,料金表!$G$6:$H$8,2,FALSE())))),"要確認",IF(F114="",0,VLOOKUP(VALUE(F114),料金表!$A$6:$B$8,2,FALSE()))+IF(G114="",0,VLOOKUP(VALUE(G114),料金表!$D$6:$E$8,2,FALSE()))+IF(H114="",0,VLOOKUP(H114,料金表!$G$6:$H$8,2,FALSE()))))</f>
        <v/>
      </c>
      <c r="L114" s="8" t="str">
        <f t="shared" si="14"/>
        <v/>
      </c>
      <c r="M114" s="1" t="str">
        <f t="shared" si="15"/>
        <v/>
      </c>
    </row>
    <row r="115" spans="1:13" ht="27" customHeight="1">
      <c r="A115" s="8" t="str">
        <f t="shared" si="12"/>
        <v/>
      </c>
      <c r="B115" s="13"/>
      <c r="C115" s="13"/>
      <c r="D115" s="13"/>
      <c r="E115" s="9" t="str">
        <f t="shared" si="13"/>
        <v/>
      </c>
      <c r="F115" s="14"/>
      <c r="G115" s="14"/>
      <c r="H115" s="14"/>
      <c r="I115" s="14"/>
      <c r="J115" s="14"/>
      <c r="K115" s="10" t="str">
        <f>IF(COUNTA(B115:D115,F115:J115)=0,"",IF(OR(AND(F115&lt;&gt;"",ISERROR(VLOOKUP(VALUE(F115),料金表!$A$6:$B$8,2,FALSE()))),AND(G115&lt;&gt;"",ISERROR(VLOOKUP(VALUE(G115),料金表!$D$6:$E$8,2,FALSE()))),AND(H115&lt;&gt;"",ISERROR(VLOOKUP(H115,料金表!$G$6:$H$8,2,FALSE())))),"要確認",IF(F115="",0,VLOOKUP(VALUE(F115),料金表!$A$6:$B$8,2,FALSE()))+IF(G115="",0,VLOOKUP(VALUE(G115),料金表!$D$6:$E$8,2,FALSE()))+IF(H115="",0,VLOOKUP(H115,料金表!$G$6:$H$8,2,FALSE()))))</f>
        <v/>
      </c>
      <c r="L115" s="8" t="str">
        <f t="shared" si="14"/>
        <v/>
      </c>
      <c r="M115" s="1" t="str">
        <f t="shared" si="15"/>
        <v/>
      </c>
    </row>
    <row r="116" spans="1:13" ht="27" customHeight="1">
      <c r="A116" s="8" t="str">
        <f t="shared" si="12"/>
        <v/>
      </c>
      <c r="B116" s="13"/>
      <c r="C116" s="13"/>
      <c r="D116" s="13"/>
      <c r="E116" s="9" t="str">
        <f t="shared" si="13"/>
        <v/>
      </c>
      <c r="F116" s="14"/>
      <c r="G116" s="14"/>
      <c r="H116" s="14"/>
      <c r="I116" s="14"/>
      <c r="J116" s="14"/>
      <c r="K116" s="10" t="str">
        <f>IF(COUNTA(B116:D116,F116:J116)=0,"",IF(OR(AND(F116&lt;&gt;"",ISERROR(VLOOKUP(VALUE(F116),料金表!$A$6:$B$8,2,FALSE()))),AND(G116&lt;&gt;"",ISERROR(VLOOKUP(VALUE(G116),料金表!$D$6:$E$8,2,FALSE()))),AND(H116&lt;&gt;"",ISERROR(VLOOKUP(H116,料金表!$G$6:$H$8,2,FALSE())))),"要確認",IF(F116="",0,VLOOKUP(VALUE(F116),料金表!$A$6:$B$8,2,FALSE()))+IF(G116="",0,VLOOKUP(VALUE(G116),料金表!$D$6:$E$8,2,FALSE()))+IF(H116="",0,VLOOKUP(H116,料金表!$G$6:$H$8,2,FALSE()))))</f>
        <v/>
      </c>
      <c r="L116" s="8" t="str">
        <f t="shared" si="14"/>
        <v/>
      </c>
      <c r="M116" s="1" t="str">
        <f t="shared" si="15"/>
        <v/>
      </c>
    </row>
    <row r="117" spans="1:13" ht="27" customHeight="1">
      <c r="A117" s="8" t="str">
        <f t="shared" si="12"/>
        <v/>
      </c>
      <c r="B117" s="13"/>
      <c r="C117" s="13"/>
      <c r="D117" s="13"/>
      <c r="E117" s="9" t="str">
        <f t="shared" si="13"/>
        <v/>
      </c>
      <c r="F117" s="14"/>
      <c r="G117" s="14"/>
      <c r="H117" s="14"/>
      <c r="I117" s="14"/>
      <c r="J117" s="14"/>
      <c r="K117" s="10" t="str">
        <f>IF(COUNTA(B117:D117,F117:J117)=0,"",IF(OR(AND(F117&lt;&gt;"",ISERROR(VLOOKUP(VALUE(F117),料金表!$A$6:$B$8,2,FALSE()))),AND(G117&lt;&gt;"",ISERROR(VLOOKUP(VALUE(G117),料金表!$D$6:$E$8,2,FALSE()))),AND(H117&lt;&gt;"",ISERROR(VLOOKUP(H117,料金表!$G$6:$H$8,2,FALSE())))),"要確認",IF(F117="",0,VLOOKUP(VALUE(F117),料金表!$A$6:$B$8,2,FALSE()))+IF(G117="",0,VLOOKUP(VALUE(G117),料金表!$D$6:$E$8,2,FALSE()))+IF(H117="",0,VLOOKUP(H117,料金表!$G$6:$H$8,2,FALSE()))))</f>
        <v/>
      </c>
      <c r="L117" s="8" t="str">
        <f t="shared" si="14"/>
        <v/>
      </c>
      <c r="M117" s="1" t="str">
        <f t="shared" si="15"/>
        <v/>
      </c>
    </row>
    <row r="118" spans="1:13" ht="27" customHeight="1">
      <c r="A118" s="8" t="str">
        <f t="shared" si="12"/>
        <v/>
      </c>
      <c r="B118" s="13"/>
      <c r="C118" s="13"/>
      <c r="D118" s="13"/>
      <c r="E118" s="9" t="str">
        <f t="shared" si="13"/>
        <v/>
      </c>
      <c r="F118" s="14"/>
      <c r="G118" s="14"/>
      <c r="H118" s="14"/>
      <c r="I118" s="14"/>
      <c r="J118" s="14"/>
      <c r="K118" s="10" t="str">
        <f>IF(COUNTA(B118:D118,F118:J118)=0,"",IF(OR(AND(F118&lt;&gt;"",ISERROR(VLOOKUP(VALUE(F118),料金表!$A$6:$B$8,2,FALSE()))),AND(G118&lt;&gt;"",ISERROR(VLOOKUP(VALUE(G118),料金表!$D$6:$E$8,2,FALSE()))),AND(H118&lt;&gt;"",ISERROR(VLOOKUP(H118,料金表!$G$6:$H$8,2,FALSE())))),"要確認",IF(F118="",0,VLOOKUP(VALUE(F118),料金表!$A$6:$B$8,2,FALSE()))+IF(G118="",0,VLOOKUP(VALUE(G118),料金表!$D$6:$E$8,2,FALSE()))+IF(H118="",0,VLOOKUP(H118,料金表!$G$6:$H$8,2,FALSE()))))</f>
        <v/>
      </c>
      <c r="L118" s="8" t="str">
        <f t="shared" si="14"/>
        <v/>
      </c>
      <c r="M118" s="1" t="str">
        <f t="shared" si="15"/>
        <v/>
      </c>
    </row>
    <row r="119" spans="1:13" ht="27" customHeight="1">
      <c r="A119" s="8" t="str">
        <f t="shared" si="12"/>
        <v/>
      </c>
      <c r="B119" s="13"/>
      <c r="C119" s="13"/>
      <c r="D119" s="13"/>
      <c r="E119" s="9" t="str">
        <f t="shared" si="13"/>
        <v/>
      </c>
      <c r="F119" s="14"/>
      <c r="G119" s="14"/>
      <c r="H119" s="14"/>
      <c r="I119" s="14"/>
      <c r="J119" s="14"/>
      <c r="K119" s="10" t="str">
        <f>IF(COUNTA(B119:D119,F119:J119)=0,"",IF(OR(AND(F119&lt;&gt;"",ISERROR(VLOOKUP(VALUE(F119),料金表!$A$6:$B$8,2,FALSE()))),AND(G119&lt;&gt;"",ISERROR(VLOOKUP(VALUE(G119),料金表!$D$6:$E$8,2,FALSE()))),AND(H119&lt;&gt;"",ISERROR(VLOOKUP(H119,料金表!$G$6:$H$8,2,FALSE())))),"要確認",IF(F119="",0,VLOOKUP(VALUE(F119),料金表!$A$6:$B$8,2,FALSE()))+IF(G119="",0,VLOOKUP(VALUE(G119),料金表!$D$6:$E$8,2,FALSE()))+IF(H119="",0,VLOOKUP(H119,料金表!$G$6:$H$8,2,FALSE()))))</f>
        <v/>
      </c>
      <c r="L119" s="8" t="str">
        <f t="shared" si="14"/>
        <v/>
      </c>
      <c r="M119" s="1" t="str">
        <f t="shared" si="15"/>
        <v/>
      </c>
    </row>
    <row r="120" spans="1:13" ht="27" customHeight="1">
      <c r="A120" s="8" t="str">
        <f t="shared" si="12"/>
        <v/>
      </c>
      <c r="B120" s="13"/>
      <c r="C120" s="13"/>
      <c r="D120" s="13"/>
      <c r="E120" s="9" t="str">
        <f t="shared" si="13"/>
        <v/>
      </c>
      <c r="F120" s="14"/>
      <c r="G120" s="14"/>
      <c r="H120" s="14"/>
      <c r="I120" s="14"/>
      <c r="J120" s="14"/>
      <c r="K120" s="10" t="str">
        <f>IF(COUNTA(B120:D120,F120:J120)=0,"",IF(OR(AND(F120&lt;&gt;"",ISERROR(VLOOKUP(VALUE(F120),料金表!$A$6:$B$8,2,FALSE()))),AND(G120&lt;&gt;"",ISERROR(VLOOKUP(VALUE(G120),料金表!$D$6:$E$8,2,FALSE()))),AND(H120&lt;&gt;"",ISERROR(VLOOKUP(H120,料金表!$G$6:$H$8,2,FALSE())))),"要確認",IF(F120="",0,VLOOKUP(VALUE(F120),料金表!$A$6:$B$8,2,FALSE()))+IF(G120="",0,VLOOKUP(VALUE(G120),料金表!$D$6:$E$8,2,FALSE()))+IF(H120="",0,VLOOKUP(H120,料金表!$G$6:$H$8,2,FALSE()))))</f>
        <v/>
      </c>
      <c r="L120" s="8" t="str">
        <f t="shared" si="14"/>
        <v/>
      </c>
      <c r="M120" s="1" t="str">
        <f t="shared" si="15"/>
        <v/>
      </c>
    </row>
    <row r="121" spans="1:13" ht="27" customHeight="1">
      <c r="A121" s="8" t="str">
        <f t="shared" si="12"/>
        <v/>
      </c>
      <c r="B121" s="13"/>
      <c r="C121" s="13"/>
      <c r="D121" s="13"/>
      <c r="E121" s="9" t="str">
        <f t="shared" si="13"/>
        <v/>
      </c>
      <c r="F121" s="14"/>
      <c r="G121" s="14"/>
      <c r="H121" s="14"/>
      <c r="I121" s="14"/>
      <c r="J121" s="14"/>
      <c r="K121" s="10" t="str">
        <f>IF(COUNTA(B121:D121,F121:J121)=0,"",IF(OR(AND(F121&lt;&gt;"",ISERROR(VLOOKUP(VALUE(F121),料金表!$A$6:$B$8,2,FALSE()))),AND(G121&lt;&gt;"",ISERROR(VLOOKUP(VALUE(G121),料金表!$D$6:$E$8,2,FALSE()))),AND(H121&lt;&gt;"",ISERROR(VLOOKUP(H121,料金表!$G$6:$H$8,2,FALSE())))),"要確認",IF(F121="",0,VLOOKUP(VALUE(F121),料金表!$A$6:$B$8,2,FALSE()))+IF(G121="",0,VLOOKUP(VALUE(G121),料金表!$D$6:$E$8,2,FALSE()))+IF(H121="",0,VLOOKUP(H121,料金表!$G$6:$H$8,2,FALSE()))))</f>
        <v/>
      </c>
      <c r="L121" s="8" t="str">
        <f t="shared" si="14"/>
        <v/>
      </c>
      <c r="M121" s="1" t="str">
        <f t="shared" si="15"/>
        <v/>
      </c>
    </row>
    <row r="122" spans="1:13" ht="27" customHeight="1">
      <c r="A122" s="8" t="str">
        <f t="shared" si="12"/>
        <v/>
      </c>
      <c r="B122" s="13"/>
      <c r="C122" s="13"/>
      <c r="D122" s="13"/>
      <c r="E122" s="9" t="str">
        <f t="shared" si="13"/>
        <v/>
      </c>
      <c r="F122" s="14"/>
      <c r="G122" s="14"/>
      <c r="H122" s="14"/>
      <c r="I122" s="14"/>
      <c r="J122" s="14"/>
      <c r="K122" s="10" t="str">
        <f>IF(COUNTA(B122:D122,F122:J122)=0,"",IF(OR(AND(F122&lt;&gt;"",ISERROR(VLOOKUP(VALUE(F122),料金表!$A$6:$B$8,2,FALSE()))),AND(G122&lt;&gt;"",ISERROR(VLOOKUP(VALUE(G122),料金表!$D$6:$E$8,2,FALSE()))),AND(H122&lt;&gt;"",ISERROR(VLOOKUP(H122,料金表!$G$6:$H$8,2,FALSE())))),"要確認",IF(F122="",0,VLOOKUP(VALUE(F122),料金表!$A$6:$B$8,2,FALSE()))+IF(G122="",0,VLOOKUP(VALUE(G122),料金表!$D$6:$E$8,2,FALSE()))+IF(H122="",0,VLOOKUP(H122,料金表!$G$6:$H$8,2,FALSE()))))</f>
        <v/>
      </c>
      <c r="L122" s="8" t="str">
        <f t="shared" si="14"/>
        <v/>
      </c>
      <c r="M122" s="1" t="str">
        <f t="shared" si="15"/>
        <v/>
      </c>
    </row>
    <row r="123" spans="1:13" ht="27" customHeight="1">
      <c r="A123" s="8" t="str">
        <f t="shared" si="12"/>
        <v/>
      </c>
      <c r="B123" s="13"/>
      <c r="C123" s="13"/>
      <c r="D123" s="13"/>
      <c r="E123" s="9" t="str">
        <f t="shared" si="13"/>
        <v/>
      </c>
      <c r="F123" s="14"/>
      <c r="G123" s="14"/>
      <c r="H123" s="14"/>
      <c r="I123" s="14"/>
      <c r="J123" s="14"/>
      <c r="K123" s="10" t="str">
        <f>IF(COUNTA(B123:D123,F123:J123)=0,"",IF(OR(AND(F123&lt;&gt;"",ISERROR(VLOOKUP(VALUE(F123),料金表!$A$6:$B$8,2,FALSE()))),AND(G123&lt;&gt;"",ISERROR(VLOOKUP(VALUE(G123),料金表!$D$6:$E$8,2,FALSE()))),AND(H123&lt;&gt;"",ISERROR(VLOOKUP(H123,料金表!$G$6:$H$8,2,FALSE())))),"要確認",IF(F123="",0,VLOOKUP(VALUE(F123),料金表!$A$6:$B$8,2,FALSE()))+IF(G123="",0,VLOOKUP(VALUE(G123),料金表!$D$6:$E$8,2,FALSE()))+IF(H123="",0,VLOOKUP(H123,料金表!$G$6:$H$8,2,FALSE()))))</f>
        <v/>
      </c>
      <c r="L123" s="8" t="str">
        <f t="shared" si="14"/>
        <v/>
      </c>
      <c r="M123" s="1" t="str">
        <f t="shared" si="15"/>
        <v/>
      </c>
    </row>
    <row r="124" spans="1:13" ht="27" customHeight="1">
      <c r="A124" s="8" t="str">
        <f t="shared" si="12"/>
        <v/>
      </c>
      <c r="B124" s="13"/>
      <c r="C124" s="13"/>
      <c r="D124" s="13"/>
      <c r="E124" s="9" t="str">
        <f t="shared" si="13"/>
        <v/>
      </c>
      <c r="F124" s="14"/>
      <c r="G124" s="14"/>
      <c r="H124" s="14"/>
      <c r="I124" s="14"/>
      <c r="J124" s="14"/>
      <c r="K124" s="10" t="str">
        <f>IF(COUNTA(B124:D124,F124:J124)=0,"",IF(OR(AND(F124&lt;&gt;"",ISERROR(VLOOKUP(VALUE(F124),料金表!$A$6:$B$8,2,FALSE()))),AND(G124&lt;&gt;"",ISERROR(VLOOKUP(VALUE(G124),料金表!$D$6:$E$8,2,FALSE()))),AND(H124&lt;&gt;"",ISERROR(VLOOKUP(H124,料金表!$G$6:$H$8,2,FALSE())))),"要確認",IF(F124="",0,VLOOKUP(VALUE(F124),料金表!$A$6:$B$8,2,FALSE()))+IF(G124="",0,VLOOKUP(VALUE(G124),料金表!$D$6:$E$8,2,FALSE()))+IF(H124="",0,VLOOKUP(H124,料金表!$G$6:$H$8,2,FALSE()))))</f>
        <v/>
      </c>
      <c r="L124" s="8" t="str">
        <f t="shared" si="14"/>
        <v/>
      </c>
      <c r="M124" s="1" t="str">
        <f t="shared" si="15"/>
        <v/>
      </c>
    </row>
    <row r="125" spans="1:13" ht="27" customHeight="1">
      <c r="A125" s="8" t="str">
        <f t="shared" si="12"/>
        <v/>
      </c>
      <c r="B125" s="13"/>
      <c r="C125" s="13"/>
      <c r="D125" s="13"/>
      <c r="E125" s="9" t="str">
        <f t="shared" si="13"/>
        <v/>
      </c>
      <c r="F125" s="14"/>
      <c r="G125" s="14"/>
      <c r="H125" s="14"/>
      <c r="I125" s="14"/>
      <c r="J125" s="14"/>
      <c r="K125" s="10" t="str">
        <f>IF(COUNTA(B125:D125,F125:J125)=0,"",IF(OR(AND(F125&lt;&gt;"",ISERROR(VLOOKUP(VALUE(F125),料金表!$A$6:$B$8,2,FALSE()))),AND(G125&lt;&gt;"",ISERROR(VLOOKUP(VALUE(G125),料金表!$D$6:$E$8,2,FALSE()))),AND(H125&lt;&gt;"",ISERROR(VLOOKUP(H125,料金表!$G$6:$H$8,2,FALSE())))),"要確認",IF(F125="",0,VLOOKUP(VALUE(F125),料金表!$A$6:$B$8,2,FALSE()))+IF(G125="",0,VLOOKUP(VALUE(G125),料金表!$D$6:$E$8,2,FALSE()))+IF(H125="",0,VLOOKUP(H125,料金表!$G$6:$H$8,2,FALSE()))))</f>
        <v/>
      </c>
      <c r="L125" s="8" t="str">
        <f t="shared" si="14"/>
        <v/>
      </c>
      <c r="M125" s="1" t="str">
        <f t="shared" si="15"/>
        <v/>
      </c>
    </row>
    <row r="126" spans="1:13" ht="27" customHeight="1">
      <c r="A126" s="8" t="str">
        <f t="shared" si="12"/>
        <v/>
      </c>
      <c r="B126" s="13"/>
      <c r="C126" s="13"/>
      <c r="D126" s="13"/>
      <c r="E126" s="9" t="str">
        <f t="shared" si="13"/>
        <v/>
      </c>
      <c r="F126" s="14"/>
      <c r="G126" s="14"/>
      <c r="H126" s="14"/>
      <c r="I126" s="14"/>
      <c r="J126" s="14"/>
      <c r="K126" s="10" t="str">
        <f>IF(COUNTA(B126:D126,F126:J126)=0,"",IF(OR(AND(F126&lt;&gt;"",ISERROR(VLOOKUP(VALUE(F126),料金表!$A$6:$B$8,2,FALSE()))),AND(G126&lt;&gt;"",ISERROR(VLOOKUP(VALUE(G126),料金表!$D$6:$E$8,2,FALSE()))),AND(H126&lt;&gt;"",ISERROR(VLOOKUP(H126,料金表!$G$6:$H$8,2,FALSE())))),"要確認",IF(F126="",0,VLOOKUP(VALUE(F126),料金表!$A$6:$B$8,2,FALSE()))+IF(G126="",0,VLOOKUP(VALUE(G126),料金表!$D$6:$E$8,2,FALSE()))+IF(H126="",0,VLOOKUP(H126,料金表!$G$6:$H$8,2,FALSE()))))</f>
        <v/>
      </c>
      <c r="L126" s="8" t="str">
        <f t="shared" si="14"/>
        <v/>
      </c>
      <c r="M126" s="1" t="str">
        <f t="shared" si="15"/>
        <v/>
      </c>
    </row>
    <row r="127" spans="1:13" ht="27" customHeight="1">
      <c r="A127" s="8" t="str">
        <f t="shared" si="12"/>
        <v/>
      </c>
      <c r="B127" s="13"/>
      <c r="C127" s="13"/>
      <c r="D127" s="13"/>
      <c r="E127" s="9" t="str">
        <f t="shared" si="13"/>
        <v/>
      </c>
      <c r="F127" s="14"/>
      <c r="G127" s="14"/>
      <c r="H127" s="14"/>
      <c r="I127" s="14"/>
      <c r="J127" s="14"/>
      <c r="K127" s="10" t="str">
        <f>IF(COUNTA(B127:D127,F127:J127)=0,"",IF(OR(AND(F127&lt;&gt;"",ISERROR(VLOOKUP(VALUE(F127),料金表!$A$6:$B$8,2,FALSE()))),AND(G127&lt;&gt;"",ISERROR(VLOOKUP(VALUE(G127),料金表!$D$6:$E$8,2,FALSE()))),AND(H127&lt;&gt;"",ISERROR(VLOOKUP(H127,料金表!$G$6:$H$8,2,FALSE())))),"要確認",IF(F127="",0,VLOOKUP(VALUE(F127),料金表!$A$6:$B$8,2,FALSE()))+IF(G127="",0,VLOOKUP(VALUE(G127),料金表!$D$6:$E$8,2,FALSE()))+IF(H127="",0,VLOOKUP(H127,料金表!$G$6:$H$8,2,FALSE()))))</f>
        <v/>
      </c>
      <c r="L127" s="8" t="str">
        <f t="shared" si="14"/>
        <v/>
      </c>
      <c r="M127" s="1" t="str">
        <f t="shared" si="15"/>
        <v/>
      </c>
    </row>
    <row r="128" spans="1:13" ht="27" customHeight="1">
      <c r="A128" s="8" t="str">
        <f t="shared" si="12"/>
        <v/>
      </c>
      <c r="B128" s="13"/>
      <c r="C128" s="13"/>
      <c r="D128" s="13"/>
      <c r="E128" s="9" t="str">
        <f t="shared" si="13"/>
        <v/>
      </c>
      <c r="F128" s="14"/>
      <c r="G128" s="14"/>
      <c r="H128" s="14"/>
      <c r="I128" s="14"/>
      <c r="J128" s="14"/>
      <c r="K128" s="10" t="str">
        <f>IF(COUNTA(B128:D128,F128:J128)=0,"",IF(OR(AND(F128&lt;&gt;"",ISERROR(VLOOKUP(VALUE(F128),料金表!$A$6:$B$8,2,FALSE()))),AND(G128&lt;&gt;"",ISERROR(VLOOKUP(VALUE(G128),料金表!$D$6:$E$8,2,FALSE()))),AND(H128&lt;&gt;"",ISERROR(VLOOKUP(H128,料金表!$G$6:$H$8,2,FALSE())))),"要確認",IF(F128="",0,VLOOKUP(VALUE(F128),料金表!$A$6:$B$8,2,FALSE()))+IF(G128="",0,VLOOKUP(VALUE(G128),料金表!$D$6:$E$8,2,FALSE()))+IF(H128="",0,VLOOKUP(H128,料金表!$G$6:$H$8,2,FALSE()))))</f>
        <v/>
      </c>
      <c r="L128" s="8" t="str">
        <f t="shared" si="14"/>
        <v/>
      </c>
      <c r="M128" s="1" t="str">
        <f t="shared" si="15"/>
        <v/>
      </c>
    </row>
    <row r="129" spans="1:13" ht="27" customHeight="1">
      <c r="A129" s="8" t="str">
        <f t="shared" si="12"/>
        <v/>
      </c>
      <c r="B129" s="13"/>
      <c r="C129" s="13"/>
      <c r="D129" s="13"/>
      <c r="E129" s="9" t="str">
        <f t="shared" si="13"/>
        <v/>
      </c>
      <c r="F129" s="14"/>
      <c r="G129" s="14"/>
      <c r="H129" s="14"/>
      <c r="I129" s="14"/>
      <c r="J129" s="14"/>
      <c r="K129" s="10" t="str">
        <f>IF(COUNTA(B129:D129,F129:J129)=0,"",IF(OR(AND(F129&lt;&gt;"",ISERROR(VLOOKUP(VALUE(F129),料金表!$A$6:$B$8,2,FALSE()))),AND(G129&lt;&gt;"",ISERROR(VLOOKUP(VALUE(G129),料金表!$D$6:$E$8,2,FALSE()))),AND(H129&lt;&gt;"",ISERROR(VLOOKUP(H129,料金表!$G$6:$H$8,2,FALSE())))),"要確認",IF(F129="",0,VLOOKUP(VALUE(F129),料金表!$A$6:$B$8,2,FALSE()))+IF(G129="",0,VLOOKUP(VALUE(G129),料金表!$D$6:$E$8,2,FALSE()))+IF(H129="",0,VLOOKUP(H129,料金表!$G$6:$H$8,2,FALSE()))))</f>
        <v/>
      </c>
      <c r="L129" s="8" t="str">
        <f t="shared" si="14"/>
        <v/>
      </c>
      <c r="M129" s="1" t="str">
        <f t="shared" si="15"/>
        <v/>
      </c>
    </row>
    <row r="130" spans="1:13" ht="27" customHeight="1">
      <c r="A130" s="8" t="str">
        <f t="shared" si="12"/>
        <v/>
      </c>
      <c r="B130" s="13"/>
      <c r="C130" s="13"/>
      <c r="D130" s="13"/>
      <c r="E130" s="9" t="str">
        <f t="shared" si="13"/>
        <v/>
      </c>
      <c r="F130" s="14"/>
      <c r="G130" s="14"/>
      <c r="H130" s="14"/>
      <c r="I130" s="14"/>
      <c r="J130" s="14"/>
      <c r="K130" s="10" t="str">
        <f>IF(COUNTA(B130:D130,F130:J130)=0,"",IF(OR(AND(F130&lt;&gt;"",ISERROR(VLOOKUP(VALUE(F130),料金表!$A$6:$B$8,2,FALSE()))),AND(G130&lt;&gt;"",ISERROR(VLOOKUP(VALUE(G130),料金表!$D$6:$E$8,2,FALSE()))),AND(H130&lt;&gt;"",ISERROR(VLOOKUP(H130,料金表!$G$6:$H$8,2,FALSE())))),"要確認",IF(F130="",0,VLOOKUP(VALUE(F130),料金表!$A$6:$B$8,2,FALSE()))+IF(G130="",0,VLOOKUP(VALUE(G130),料金表!$D$6:$E$8,2,FALSE()))+IF(H130="",0,VLOOKUP(H130,料金表!$G$6:$H$8,2,FALSE()))))</f>
        <v/>
      </c>
      <c r="L130" s="8" t="str">
        <f t="shared" si="14"/>
        <v/>
      </c>
      <c r="M130" s="1" t="str">
        <f t="shared" si="15"/>
        <v/>
      </c>
    </row>
    <row r="131" spans="1:13" ht="27" customHeight="1">
      <c r="A131" s="8" t="str">
        <f t="shared" si="12"/>
        <v/>
      </c>
      <c r="B131" s="13"/>
      <c r="C131" s="13"/>
      <c r="D131" s="13"/>
      <c r="E131" s="9" t="str">
        <f t="shared" si="13"/>
        <v/>
      </c>
      <c r="F131" s="14"/>
      <c r="G131" s="14"/>
      <c r="H131" s="14"/>
      <c r="I131" s="14"/>
      <c r="J131" s="14"/>
      <c r="K131" s="10" t="str">
        <f>IF(COUNTA(B131:D131,F131:J131)=0,"",IF(OR(AND(F131&lt;&gt;"",ISERROR(VLOOKUP(VALUE(F131),料金表!$A$6:$B$8,2,FALSE()))),AND(G131&lt;&gt;"",ISERROR(VLOOKUP(VALUE(G131),料金表!$D$6:$E$8,2,FALSE()))),AND(H131&lt;&gt;"",ISERROR(VLOOKUP(H131,料金表!$G$6:$H$8,2,FALSE())))),"要確認",IF(F131="",0,VLOOKUP(VALUE(F131),料金表!$A$6:$B$8,2,FALSE()))+IF(G131="",0,VLOOKUP(VALUE(G131),料金表!$D$6:$E$8,2,FALSE()))+IF(H131="",0,VLOOKUP(H131,料金表!$G$6:$H$8,2,FALSE()))))</f>
        <v/>
      </c>
      <c r="L131" s="8" t="str">
        <f t="shared" si="14"/>
        <v/>
      </c>
      <c r="M131" s="1" t="str">
        <f t="shared" si="15"/>
        <v/>
      </c>
    </row>
    <row r="132" spans="1:13" ht="27" customHeight="1">
      <c r="A132" s="8" t="str">
        <f t="shared" si="12"/>
        <v/>
      </c>
      <c r="B132" s="13"/>
      <c r="C132" s="13"/>
      <c r="D132" s="13"/>
      <c r="E132" s="9" t="str">
        <f t="shared" si="13"/>
        <v/>
      </c>
      <c r="F132" s="14"/>
      <c r="G132" s="14"/>
      <c r="H132" s="14"/>
      <c r="I132" s="14"/>
      <c r="J132" s="14"/>
      <c r="K132" s="10" t="str">
        <f>IF(COUNTA(B132:D132,F132:J132)=0,"",IF(OR(AND(F132&lt;&gt;"",ISERROR(VLOOKUP(VALUE(F132),料金表!$A$6:$B$8,2,FALSE()))),AND(G132&lt;&gt;"",ISERROR(VLOOKUP(VALUE(G132),料金表!$D$6:$E$8,2,FALSE()))),AND(H132&lt;&gt;"",ISERROR(VLOOKUP(H132,料金表!$G$6:$H$8,2,FALSE())))),"要確認",IF(F132="",0,VLOOKUP(VALUE(F132),料金表!$A$6:$B$8,2,FALSE()))+IF(G132="",0,VLOOKUP(VALUE(G132),料金表!$D$6:$E$8,2,FALSE()))+IF(H132="",0,VLOOKUP(H132,料金表!$G$6:$H$8,2,FALSE()))))</f>
        <v/>
      </c>
      <c r="L132" s="8" t="str">
        <f t="shared" si="14"/>
        <v/>
      </c>
      <c r="M132" s="1" t="str">
        <f t="shared" si="15"/>
        <v/>
      </c>
    </row>
    <row r="133" spans="1:13" ht="27" customHeight="1">
      <c r="A133" s="8" t="str">
        <f t="shared" si="12"/>
        <v/>
      </c>
      <c r="B133" s="13"/>
      <c r="C133" s="13"/>
      <c r="D133" s="13"/>
      <c r="E133" s="9" t="str">
        <f t="shared" si="13"/>
        <v/>
      </c>
      <c r="F133" s="14"/>
      <c r="G133" s="14"/>
      <c r="H133" s="14"/>
      <c r="I133" s="14"/>
      <c r="J133" s="14"/>
      <c r="K133" s="10" t="str">
        <f>IF(COUNTA(B133:D133,F133:J133)=0,"",IF(OR(AND(F133&lt;&gt;"",ISERROR(VLOOKUP(VALUE(F133),料金表!$A$6:$B$8,2,FALSE()))),AND(G133&lt;&gt;"",ISERROR(VLOOKUP(VALUE(G133),料金表!$D$6:$E$8,2,FALSE()))),AND(H133&lt;&gt;"",ISERROR(VLOOKUP(H133,料金表!$G$6:$H$8,2,FALSE())))),"要確認",IF(F133="",0,VLOOKUP(VALUE(F133),料金表!$A$6:$B$8,2,FALSE()))+IF(G133="",0,VLOOKUP(VALUE(G133),料金表!$D$6:$E$8,2,FALSE()))+IF(H133="",0,VLOOKUP(H133,料金表!$G$6:$H$8,2,FALSE()))))</f>
        <v/>
      </c>
      <c r="L133" s="8" t="str">
        <f t="shared" si="14"/>
        <v/>
      </c>
      <c r="M133" s="1" t="str">
        <f t="shared" si="15"/>
        <v/>
      </c>
    </row>
    <row r="134" spans="1:13" ht="27" customHeight="1">
      <c r="A134" s="8" t="str">
        <f t="shared" si="12"/>
        <v/>
      </c>
      <c r="B134" s="13"/>
      <c r="C134" s="13"/>
      <c r="D134" s="13"/>
      <c r="E134" s="9" t="str">
        <f t="shared" si="13"/>
        <v/>
      </c>
      <c r="F134" s="14"/>
      <c r="G134" s="14"/>
      <c r="H134" s="14"/>
      <c r="I134" s="14"/>
      <c r="J134" s="14"/>
      <c r="K134" s="10" t="str">
        <f>IF(COUNTA(B134:D134,F134:J134)=0,"",IF(OR(AND(F134&lt;&gt;"",ISERROR(VLOOKUP(VALUE(F134),料金表!$A$6:$B$8,2,FALSE()))),AND(G134&lt;&gt;"",ISERROR(VLOOKUP(VALUE(G134),料金表!$D$6:$E$8,2,FALSE()))),AND(H134&lt;&gt;"",ISERROR(VLOOKUP(H134,料金表!$G$6:$H$8,2,FALSE())))),"要確認",IF(F134="",0,VLOOKUP(VALUE(F134),料金表!$A$6:$B$8,2,FALSE()))+IF(G134="",0,VLOOKUP(VALUE(G134),料金表!$D$6:$E$8,2,FALSE()))+IF(H134="",0,VLOOKUP(H134,料金表!$G$6:$H$8,2,FALSE()))))</f>
        <v/>
      </c>
      <c r="L134" s="8" t="str">
        <f t="shared" si="14"/>
        <v/>
      </c>
      <c r="M134" s="1" t="str">
        <f t="shared" si="15"/>
        <v/>
      </c>
    </row>
    <row r="135" spans="1:13" ht="27" customHeight="1">
      <c r="A135" s="8" t="str">
        <f t="shared" si="12"/>
        <v/>
      </c>
      <c r="B135" s="13"/>
      <c r="C135" s="13"/>
      <c r="D135" s="13"/>
      <c r="E135" s="9" t="str">
        <f t="shared" si="13"/>
        <v/>
      </c>
      <c r="F135" s="14"/>
      <c r="G135" s="14"/>
      <c r="H135" s="14"/>
      <c r="I135" s="14"/>
      <c r="J135" s="14"/>
      <c r="K135" s="10" t="str">
        <f>IF(COUNTA(B135:D135,F135:J135)=0,"",IF(OR(AND(F135&lt;&gt;"",ISERROR(VLOOKUP(VALUE(F135),料金表!$A$6:$B$8,2,FALSE()))),AND(G135&lt;&gt;"",ISERROR(VLOOKUP(VALUE(G135),料金表!$D$6:$E$8,2,FALSE()))),AND(H135&lt;&gt;"",ISERROR(VLOOKUP(H135,料金表!$G$6:$H$8,2,FALSE())))),"要確認",IF(F135="",0,VLOOKUP(VALUE(F135),料金表!$A$6:$B$8,2,FALSE()))+IF(G135="",0,VLOOKUP(VALUE(G135),料金表!$D$6:$E$8,2,FALSE()))+IF(H135="",0,VLOOKUP(H135,料金表!$G$6:$H$8,2,FALSE()))))</f>
        <v/>
      </c>
      <c r="L135" s="8" t="str">
        <f t="shared" si="14"/>
        <v/>
      </c>
      <c r="M135" s="1" t="str">
        <f t="shared" si="15"/>
        <v/>
      </c>
    </row>
    <row r="136" spans="1:13" ht="27" customHeight="1">
      <c r="A136" s="8" t="str">
        <f t="shared" si="12"/>
        <v/>
      </c>
      <c r="B136" s="13"/>
      <c r="C136" s="13"/>
      <c r="D136" s="13"/>
      <c r="E136" s="9" t="str">
        <f t="shared" si="13"/>
        <v/>
      </c>
      <c r="F136" s="14"/>
      <c r="G136" s="14"/>
      <c r="H136" s="14"/>
      <c r="I136" s="14"/>
      <c r="J136" s="14"/>
      <c r="K136" s="10" t="str">
        <f>IF(COUNTA(B136:D136,F136:J136)=0,"",IF(OR(AND(F136&lt;&gt;"",ISERROR(VLOOKUP(VALUE(F136),料金表!$A$6:$B$8,2,FALSE()))),AND(G136&lt;&gt;"",ISERROR(VLOOKUP(VALUE(G136),料金表!$D$6:$E$8,2,FALSE()))),AND(H136&lt;&gt;"",ISERROR(VLOOKUP(H136,料金表!$G$6:$H$8,2,FALSE())))),"要確認",IF(F136="",0,VLOOKUP(VALUE(F136),料金表!$A$6:$B$8,2,FALSE()))+IF(G136="",0,VLOOKUP(VALUE(G136),料金表!$D$6:$E$8,2,FALSE()))+IF(H136="",0,VLOOKUP(H136,料金表!$G$6:$H$8,2,FALSE()))))</f>
        <v/>
      </c>
      <c r="L136" s="8" t="str">
        <f t="shared" si="14"/>
        <v/>
      </c>
      <c r="M136" s="1" t="str">
        <f t="shared" si="15"/>
        <v/>
      </c>
    </row>
    <row r="137" spans="1:13" ht="27" customHeight="1">
      <c r="A137" s="8" t="str">
        <f t="shared" si="12"/>
        <v/>
      </c>
      <c r="B137" s="13"/>
      <c r="C137" s="13"/>
      <c r="D137" s="13"/>
      <c r="E137" s="9" t="str">
        <f t="shared" si="13"/>
        <v/>
      </c>
      <c r="F137" s="14"/>
      <c r="G137" s="14"/>
      <c r="H137" s="14"/>
      <c r="I137" s="14"/>
      <c r="J137" s="14"/>
      <c r="K137" s="10" t="str">
        <f>IF(COUNTA(B137:D137,F137:J137)=0,"",IF(OR(AND(F137&lt;&gt;"",ISERROR(VLOOKUP(VALUE(F137),料金表!$A$6:$B$8,2,FALSE()))),AND(G137&lt;&gt;"",ISERROR(VLOOKUP(VALUE(G137),料金表!$D$6:$E$8,2,FALSE()))),AND(H137&lt;&gt;"",ISERROR(VLOOKUP(H137,料金表!$G$6:$H$8,2,FALSE())))),"要確認",IF(F137="",0,VLOOKUP(VALUE(F137),料金表!$A$6:$B$8,2,FALSE()))+IF(G137="",0,VLOOKUP(VALUE(G137),料金表!$D$6:$E$8,2,FALSE()))+IF(H137="",0,VLOOKUP(H137,料金表!$G$6:$H$8,2,FALSE()))))</f>
        <v/>
      </c>
      <c r="L137" s="8" t="str">
        <f t="shared" si="14"/>
        <v/>
      </c>
      <c r="M137" s="1" t="str">
        <f t="shared" si="15"/>
        <v/>
      </c>
    </row>
    <row r="138" spans="1:13" ht="27" customHeight="1">
      <c r="A138" s="8" t="str">
        <f t="shared" si="12"/>
        <v/>
      </c>
      <c r="B138" s="13"/>
      <c r="C138" s="13"/>
      <c r="D138" s="13"/>
      <c r="E138" s="9" t="str">
        <f t="shared" si="13"/>
        <v/>
      </c>
      <c r="F138" s="14"/>
      <c r="G138" s="14"/>
      <c r="H138" s="14"/>
      <c r="I138" s="14"/>
      <c r="J138" s="14"/>
      <c r="K138" s="10" t="str">
        <f>IF(COUNTA(B138:D138,F138:J138)=0,"",IF(OR(AND(F138&lt;&gt;"",ISERROR(VLOOKUP(VALUE(F138),料金表!$A$6:$B$8,2,FALSE()))),AND(G138&lt;&gt;"",ISERROR(VLOOKUP(VALUE(G138),料金表!$D$6:$E$8,2,FALSE()))),AND(H138&lt;&gt;"",ISERROR(VLOOKUP(H138,料金表!$G$6:$H$8,2,FALSE())))),"要確認",IF(F138="",0,VLOOKUP(VALUE(F138),料金表!$A$6:$B$8,2,FALSE()))+IF(G138="",0,VLOOKUP(VALUE(G138),料金表!$D$6:$E$8,2,FALSE()))+IF(H138="",0,VLOOKUP(H138,料金表!$G$6:$H$8,2,FALSE()))))</f>
        <v/>
      </c>
      <c r="L138" s="8" t="str">
        <f t="shared" si="14"/>
        <v/>
      </c>
      <c r="M138" s="1" t="str">
        <f t="shared" si="15"/>
        <v/>
      </c>
    </row>
    <row r="139" spans="1:13" ht="27" customHeight="1">
      <c r="A139" s="8" t="str">
        <f t="shared" si="12"/>
        <v/>
      </c>
      <c r="B139" s="13"/>
      <c r="C139" s="13"/>
      <c r="D139" s="13"/>
      <c r="E139" s="9" t="str">
        <f t="shared" si="13"/>
        <v/>
      </c>
      <c r="F139" s="14"/>
      <c r="G139" s="14"/>
      <c r="H139" s="14"/>
      <c r="I139" s="14"/>
      <c r="J139" s="14"/>
      <c r="K139" s="10" t="str">
        <f>IF(COUNTA(B139:D139,F139:J139)=0,"",IF(OR(AND(F139&lt;&gt;"",ISERROR(VLOOKUP(VALUE(F139),料金表!$A$6:$B$8,2,FALSE()))),AND(G139&lt;&gt;"",ISERROR(VLOOKUP(VALUE(G139),料金表!$D$6:$E$8,2,FALSE()))),AND(H139&lt;&gt;"",ISERROR(VLOOKUP(H139,料金表!$G$6:$H$8,2,FALSE())))),"要確認",IF(F139="",0,VLOOKUP(VALUE(F139),料金表!$A$6:$B$8,2,FALSE()))+IF(G139="",0,VLOOKUP(VALUE(G139),料金表!$D$6:$E$8,2,FALSE()))+IF(H139="",0,VLOOKUP(H139,料金表!$G$6:$H$8,2,FALSE()))))</f>
        <v/>
      </c>
      <c r="L139" s="8" t="str">
        <f t="shared" si="14"/>
        <v/>
      </c>
      <c r="M139" s="1" t="str">
        <f t="shared" si="15"/>
        <v/>
      </c>
    </row>
    <row r="140" spans="1:13" ht="27" customHeight="1">
      <c r="A140" s="8" t="str">
        <f t="shared" si="12"/>
        <v/>
      </c>
      <c r="B140" s="13"/>
      <c r="C140" s="13"/>
      <c r="D140" s="13"/>
      <c r="E140" s="9" t="str">
        <f t="shared" si="13"/>
        <v/>
      </c>
      <c r="F140" s="14"/>
      <c r="G140" s="14"/>
      <c r="H140" s="14"/>
      <c r="I140" s="14"/>
      <c r="J140" s="14"/>
      <c r="K140" s="10" t="str">
        <f>IF(COUNTA(B140:D140,F140:J140)=0,"",IF(OR(AND(F140&lt;&gt;"",ISERROR(VLOOKUP(VALUE(F140),料金表!$A$6:$B$8,2,FALSE()))),AND(G140&lt;&gt;"",ISERROR(VLOOKUP(VALUE(G140),料金表!$D$6:$E$8,2,FALSE()))),AND(H140&lt;&gt;"",ISERROR(VLOOKUP(H140,料金表!$G$6:$H$8,2,FALSE())))),"要確認",IF(F140="",0,VLOOKUP(VALUE(F140),料金表!$A$6:$B$8,2,FALSE()))+IF(G140="",0,VLOOKUP(VALUE(G140),料金表!$D$6:$E$8,2,FALSE()))+IF(H140="",0,VLOOKUP(H140,料金表!$G$6:$H$8,2,FALSE()))))</f>
        <v/>
      </c>
      <c r="L140" s="8" t="str">
        <f t="shared" si="14"/>
        <v/>
      </c>
      <c r="M140" s="1" t="str">
        <f t="shared" si="15"/>
        <v/>
      </c>
    </row>
    <row r="141" spans="1:13" ht="27" customHeight="1">
      <c r="A141" s="8" t="str">
        <f t="shared" ref="A141:A172" si="16">IF(COUNTA(B141:D141,F141:J141)=0,"",ROW()-12)</f>
        <v/>
      </c>
      <c r="B141" s="13"/>
      <c r="C141" s="13"/>
      <c r="D141" s="13"/>
      <c r="E141" s="9" t="str">
        <f t="shared" ref="E141:E172" si="17">IF(COUNTA(B141:D141,F141:J141)=0,"",IF(COUNTA($C$4)=0,"",$C$4))</f>
        <v/>
      </c>
      <c r="F141" s="14"/>
      <c r="G141" s="14"/>
      <c r="H141" s="14"/>
      <c r="I141" s="14"/>
      <c r="J141" s="14"/>
      <c r="K141" s="10" t="str">
        <f>IF(COUNTA(B141:D141,F141:J141)=0,"",IF(OR(AND(F141&lt;&gt;"",ISERROR(VLOOKUP(VALUE(F141),料金表!$A$6:$B$8,2,FALSE()))),AND(G141&lt;&gt;"",ISERROR(VLOOKUP(VALUE(G141),料金表!$D$6:$E$8,2,FALSE()))),AND(H141&lt;&gt;"",ISERROR(VLOOKUP(H141,料金表!$G$6:$H$8,2,FALSE())))),"要確認",IF(F141="",0,VLOOKUP(VALUE(F141),料金表!$A$6:$B$8,2,FALSE()))+IF(G141="",0,VLOOKUP(VALUE(G141),料金表!$D$6:$E$8,2,FALSE()))+IF(H141="",0,VLOOKUP(H141,料金表!$G$6:$H$8,2,FALSE()))))</f>
        <v/>
      </c>
      <c r="L141" s="8" t="str">
        <f t="shared" ref="L141:L172" si="18">IF(COUNTA(B141:D141,F141:J141)=0,"",IF(OR(B141="",C141="",D141=""),"要確認：氏名・カナ・生年月日",IF(NOT(AND(ISTEXT(B141),LEN(B141)-LEN(SUBSTITUTE(B141," ",""))=1,LEFT(B141,1)&lt;&gt;" ",RIGHT(B141,1)&lt;&gt;" ",ISERROR(SEARCH("　",B141)))),"要確認：姓と名に半角スペース",IF(NOT(IFERROR(AND(ISTEXT(D141),LEN(D141)&gt;=8,LEN(D141)&lt;=10,MID(D141,5,1)="/",LEN(D141)-LEN(SUBSTITUTE(D141,"/",""))=2,FIND("/",D141,6)&gt;=7,FIND("/",D141,6)&lt;=8,LEN(D141)-FIND("/",D141,6)&gt;=1,LEN(D141)-FIND("/",D141,6)&lt;=2,YEAR(DATE(VALUE(LEFT(D141,4)),VALUE(MID(D141,6,FIND("/",D141,6)-6)),VALUE(MID(D141,FIND("/",D141,6)+1,2))))=VALUE(LEFT(D141,4)),MONTH(DATE(VALUE(LEFT(D141,4)),VALUE(MID(D141,6,FIND("/",D141,6)-6)),VALUE(MID(D141,FIND("/",D141,6)+1,2))))=VALUE(MID(D141,6,FIND("/",D141,6)-6)),DAY(DATE(VALUE(LEFT(D141,4)),VALUE(MID(D141,6,FIND("/",D141,6)-6)),VALUE(MID(D141,FIND("/",D141,6)+1,2))))=VALUE(MID(D141,FIND("/",D141,6)+1,2)),DATE(VALUE(LEFT(D141,4)),VALUE(MID(D141,6,FIND("/",D141,6)-6)),VALUE(MID(D141,FIND("/",D141,6)+1,2)))&gt;=DATE(1900,1,1),DATE(VALUE(LEFT(D141,4)),VALUE(MID(D141,6,FIND("/",D141,6)-6)),VALUE(MID(D141,FIND("/",D141,6)+1,2)))&lt;=$B$3,NOT(AND(VALUE(LEFT(D141,4))=1900,VALUE(MID(D141,6,FIND("/",D141,6)-6))=2,VALUE(MID(D141,FIND("/",D141,6)+1,2))=29))),FALSE())),"要確認：生年月日は西暦/月/日",IF(COUNTA(F141:H141)=0,"要確認：受験種目",IF(NOT(ISNUMBER(K141)),"要確認：級・段位",IF(AND(I141&lt;&gt;"",NOT(OR(I141="未確認",I141="はい",I141="いいえ"))),"要確認：初受験",IF(OR(AND(F141&lt;&gt;"",COUNTIFS($B$13:$B$212,B141,$M$13:$M$212,M141,$F$13:$F$212,F141)&gt;1),AND(G141&lt;&gt;"",COUNTIFS($B$13:$B$212,B141,$M$13:$M$212,M141,$G$13:$G$212,G141)&gt;1),AND(H141&lt;&gt;"",COUNTIFS($B$13:$B$212,B141,$M$13:$M$212,M141,$H$13:$H$212,H141)&gt;1)),"要確認：同じ種目・級が重複",""))))))))</f>
        <v/>
      </c>
      <c r="M141" s="1" t="str">
        <f t="shared" ref="M141:M172" si="19">IF(D141="","",IFERROR(DATE(VALUE(LEFT(D141,4)),VALUE(MID(D141,6,FIND("/",D141,6)-6)),VALUE(MID(D141,FIND("/",D141,6)+1,2))),""))</f>
        <v/>
      </c>
    </row>
    <row r="142" spans="1:13" ht="27" customHeight="1">
      <c r="A142" s="8" t="str">
        <f t="shared" si="16"/>
        <v/>
      </c>
      <c r="B142" s="13"/>
      <c r="C142" s="13"/>
      <c r="D142" s="13"/>
      <c r="E142" s="9" t="str">
        <f t="shared" si="17"/>
        <v/>
      </c>
      <c r="F142" s="14"/>
      <c r="G142" s="14"/>
      <c r="H142" s="14"/>
      <c r="I142" s="14"/>
      <c r="J142" s="14"/>
      <c r="K142" s="10" t="str">
        <f>IF(COUNTA(B142:D142,F142:J142)=0,"",IF(OR(AND(F142&lt;&gt;"",ISERROR(VLOOKUP(VALUE(F142),料金表!$A$6:$B$8,2,FALSE()))),AND(G142&lt;&gt;"",ISERROR(VLOOKUP(VALUE(G142),料金表!$D$6:$E$8,2,FALSE()))),AND(H142&lt;&gt;"",ISERROR(VLOOKUP(H142,料金表!$G$6:$H$8,2,FALSE())))),"要確認",IF(F142="",0,VLOOKUP(VALUE(F142),料金表!$A$6:$B$8,2,FALSE()))+IF(G142="",0,VLOOKUP(VALUE(G142),料金表!$D$6:$E$8,2,FALSE()))+IF(H142="",0,VLOOKUP(H142,料金表!$G$6:$H$8,2,FALSE()))))</f>
        <v/>
      </c>
      <c r="L142" s="8" t="str">
        <f t="shared" si="18"/>
        <v/>
      </c>
      <c r="M142" s="1" t="str">
        <f t="shared" si="19"/>
        <v/>
      </c>
    </row>
    <row r="143" spans="1:13" ht="27" customHeight="1">
      <c r="A143" s="8" t="str">
        <f t="shared" si="16"/>
        <v/>
      </c>
      <c r="B143" s="13"/>
      <c r="C143" s="13"/>
      <c r="D143" s="13"/>
      <c r="E143" s="9" t="str">
        <f t="shared" si="17"/>
        <v/>
      </c>
      <c r="F143" s="14"/>
      <c r="G143" s="14"/>
      <c r="H143" s="14"/>
      <c r="I143" s="14"/>
      <c r="J143" s="14"/>
      <c r="K143" s="10" t="str">
        <f>IF(COUNTA(B143:D143,F143:J143)=0,"",IF(OR(AND(F143&lt;&gt;"",ISERROR(VLOOKUP(VALUE(F143),料金表!$A$6:$B$8,2,FALSE()))),AND(G143&lt;&gt;"",ISERROR(VLOOKUP(VALUE(G143),料金表!$D$6:$E$8,2,FALSE()))),AND(H143&lt;&gt;"",ISERROR(VLOOKUP(H143,料金表!$G$6:$H$8,2,FALSE())))),"要確認",IF(F143="",0,VLOOKUP(VALUE(F143),料金表!$A$6:$B$8,2,FALSE()))+IF(G143="",0,VLOOKUP(VALUE(G143),料金表!$D$6:$E$8,2,FALSE()))+IF(H143="",0,VLOOKUP(H143,料金表!$G$6:$H$8,2,FALSE()))))</f>
        <v/>
      </c>
      <c r="L143" s="8" t="str">
        <f t="shared" si="18"/>
        <v/>
      </c>
      <c r="M143" s="1" t="str">
        <f t="shared" si="19"/>
        <v/>
      </c>
    </row>
    <row r="144" spans="1:13" ht="27" customHeight="1">
      <c r="A144" s="8" t="str">
        <f t="shared" si="16"/>
        <v/>
      </c>
      <c r="B144" s="13"/>
      <c r="C144" s="13"/>
      <c r="D144" s="13"/>
      <c r="E144" s="9" t="str">
        <f t="shared" si="17"/>
        <v/>
      </c>
      <c r="F144" s="14"/>
      <c r="G144" s="14"/>
      <c r="H144" s="14"/>
      <c r="I144" s="14"/>
      <c r="J144" s="14"/>
      <c r="K144" s="10" t="str">
        <f>IF(COUNTA(B144:D144,F144:J144)=0,"",IF(OR(AND(F144&lt;&gt;"",ISERROR(VLOOKUP(VALUE(F144),料金表!$A$6:$B$8,2,FALSE()))),AND(G144&lt;&gt;"",ISERROR(VLOOKUP(VALUE(G144),料金表!$D$6:$E$8,2,FALSE()))),AND(H144&lt;&gt;"",ISERROR(VLOOKUP(H144,料金表!$G$6:$H$8,2,FALSE())))),"要確認",IF(F144="",0,VLOOKUP(VALUE(F144),料金表!$A$6:$B$8,2,FALSE()))+IF(G144="",0,VLOOKUP(VALUE(G144),料金表!$D$6:$E$8,2,FALSE()))+IF(H144="",0,VLOOKUP(H144,料金表!$G$6:$H$8,2,FALSE()))))</f>
        <v/>
      </c>
      <c r="L144" s="8" t="str">
        <f t="shared" si="18"/>
        <v/>
      </c>
      <c r="M144" s="1" t="str">
        <f t="shared" si="19"/>
        <v/>
      </c>
    </row>
    <row r="145" spans="1:13" ht="27" customHeight="1">
      <c r="A145" s="8" t="str">
        <f t="shared" si="16"/>
        <v/>
      </c>
      <c r="B145" s="13"/>
      <c r="C145" s="13"/>
      <c r="D145" s="13"/>
      <c r="E145" s="9" t="str">
        <f t="shared" si="17"/>
        <v/>
      </c>
      <c r="F145" s="14"/>
      <c r="G145" s="14"/>
      <c r="H145" s="14"/>
      <c r="I145" s="14"/>
      <c r="J145" s="14"/>
      <c r="K145" s="10" t="str">
        <f>IF(COUNTA(B145:D145,F145:J145)=0,"",IF(OR(AND(F145&lt;&gt;"",ISERROR(VLOOKUP(VALUE(F145),料金表!$A$6:$B$8,2,FALSE()))),AND(G145&lt;&gt;"",ISERROR(VLOOKUP(VALUE(G145),料金表!$D$6:$E$8,2,FALSE()))),AND(H145&lt;&gt;"",ISERROR(VLOOKUP(H145,料金表!$G$6:$H$8,2,FALSE())))),"要確認",IF(F145="",0,VLOOKUP(VALUE(F145),料金表!$A$6:$B$8,2,FALSE()))+IF(G145="",0,VLOOKUP(VALUE(G145),料金表!$D$6:$E$8,2,FALSE()))+IF(H145="",0,VLOOKUP(H145,料金表!$G$6:$H$8,2,FALSE()))))</f>
        <v/>
      </c>
      <c r="L145" s="8" t="str">
        <f t="shared" si="18"/>
        <v/>
      </c>
      <c r="M145" s="1" t="str">
        <f t="shared" si="19"/>
        <v/>
      </c>
    </row>
    <row r="146" spans="1:13" ht="27" customHeight="1">
      <c r="A146" s="8" t="str">
        <f t="shared" si="16"/>
        <v/>
      </c>
      <c r="B146" s="13"/>
      <c r="C146" s="13"/>
      <c r="D146" s="13"/>
      <c r="E146" s="9" t="str">
        <f t="shared" si="17"/>
        <v/>
      </c>
      <c r="F146" s="14"/>
      <c r="G146" s="14"/>
      <c r="H146" s="14"/>
      <c r="I146" s="14"/>
      <c r="J146" s="14"/>
      <c r="K146" s="10" t="str">
        <f>IF(COUNTA(B146:D146,F146:J146)=0,"",IF(OR(AND(F146&lt;&gt;"",ISERROR(VLOOKUP(VALUE(F146),料金表!$A$6:$B$8,2,FALSE()))),AND(G146&lt;&gt;"",ISERROR(VLOOKUP(VALUE(G146),料金表!$D$6:$E$8,2,FALSE()))),AND(H146&lt;&gt;"",ISERROR(VLOOKUP(H146,料金表!$G$6:$H$8,2,FALSE())))),"要確認",IF(F146="",0,VLOOKUP(VALUE(F146),料金表!$A$6:$B$8,2,FALSE()))+IF(G146="",0,VLOOKUP(VALUE(G146),料金表!$D$6:$E$8,2,FALSE()))+IF(H146="",0,VLOOKUP(H146,料金表!$G$6:$H$8,2,FALSE()))))</f>
        <v/>
      </c>
      <c r="L146" s="8" t="str">
        <f t="shared" si="18"/>
        <v/>
      </c>
      <c r="M146" s="1" t="str">
        <f t="shared" si="19"/>
        <v/>
      </c>
    </row>
    <row r="147" spans="1:13" ht="27" customHeight="1">
      <c r="A147" s="8" t="str">
        <f t="shared" si="16"/>
        <v/>
      </c>
      <c r="B147" s="13"/>
      <c r="C147" s="13"/>
      <c r="D147" s="13"/>
      <c r="E147" s="9" t="str">
        <f t="shared" si="17"/>
        <v/>
      </c>
      <c r="F147" s="14"/>
      <c r="G147" s="14"/>
      <c r="H147" s="14"/>
      <c r="I147" s="14"/>
      <c r="J147" s="14"/>
      <c r="K147" s="10" t="str">
        <f>IF(COUNTA(B147:D147,F147:J147)=0,"",IF(OR(AND(F147&lt;&gt;"",ISERROR(VLOOKUP(VALUE(F147),料金表!$A$6:$B$8,2,FALSE()))),AND(G147&lt;&gt;"",ISERROR(VLOOKUP(VALUE(G147),料金表!$D$6:$E$8,2,FALSE()))),AND(H147&lt;&gt;"",ISERROR(VLOOKUP(H147,料金表!$G$6:$H$8,2,FALSE())))),"要確認",IF(F147="",0,VLOOKUP(VALUE(F147),料金表!$A$6:$B$8,2,FALSE()))+IF(G147="",0,VLOOKUP(VALUE(G147),料金表!$D$6:$E$8,2,FALSE()))+IF(H147="",0,VLOOKUP(H147,料金表!$G$6:$H$8,2,FALSE()))))</f>
        <v/>
      </c>
      <c r="L147" s="8" t="str">
        <f t="shared" si="18"/>
        <v/>
      </c>
      <c r="M147" s="1" t="str">
        <f t="shared" si="19"/>
        <v/>
      </c>
    </row>
    <row r="148" spans="1:13" ht="27" customHeight="1">
      <c r="A148" s="8" t="str">
        <f t="shared" si="16"/>
        <v/>
      </c>
      <c r="B148" s="13"/>
      <c r="C148" s="13"/>
      <c r="D148" s="13"/>
      <c r="E148" s="9" t="str">
        <f t="shared" si="17"/>
        <v/>
      </c>
      <c r="F148" s="14"/>
      <c r="G148" s="14"/>
      <c r="H148" s="14"/>
      <c r="I148" s="14"/>
      <c r="J148" s="14"/>
      <c r="K148" s="10" t="str">
        <f>IF(COUNTA(B148:D148,F148:J148)=0,"",IF(OR(AND(F148&lt;&gt;"",ISERROR(VLOOKUP(VALUE(F148),料金表!$A$6:$B$8,2,FALSE()))),AND(G148&lt;&gt;"",ISERROR(VLOOKUP(VALUE(G148),料金表!$D$6:$E$8,2,FALSE()))),AND(H148&lt;&gt;"",ISERROR(VLOOKUP(H148,料金表!$G$6:$H$8,2,FALSE())))),"要確認",IF(F148="",0,VLOOKUP(VALUE(F148),料金表!$A$6:$B$8,2,FALSE()))+IF(G148="",0,VLOOKUP(VALUE(G148),料金表!$D$6:$E$8,2,FALSE()))+IF(H148="",0,VLOOKUP(H148,料金表!$G$6:$H$8,2,FALSE()))))</f>
        <v/>
      </c>
      <c r="L148" s="8" t="str">
        <f t="shared" si="18"/>
        <v/>
      </c>
      <c r="M148" s="1" t="str">
        <f t="shared" si="19"/>
        <v/>
      </c>
    </row>
    <row r="149" spans="1:13" ht="27" customHeight="1">
      <c r="A149" s="8" t="str">
        <f t="shared" si="16"/>
        <v/>
      </c>
      <c r="B149" s="13"/>
      <c r="C149" s="13"/>
      <c r="D149" s="13"/>
      <c r="E149" s="9" t="str">
        <f t="shared" si="17"/>
        <v/>
      </c>
      <c r="F149" s="14"/>
      <c r="G149" s="14"/>
      <c r="H149" s="14"/>
      <c r="I149" s="14"/>
      <c r="J149" s="14"/>
      <c r="K149" s="10" t="str">
        <f>IF(COUNTA(B149:D149,F149:J149)=0,"",IF(OR(AND(F149&lt;&gt;"",ISERROR(VLOOKUP(VALUE(F149),料金表!$A$6:$B$8,2,FALSE()))),AND(G149&lt;&gt;"",ISERROR(VLOOKUP(VALUE(G149),料金表!$D$6:$E$8,2,FALSE()))),AND(H149&lt;&gt;"",ISERROR(VLOOKUP(H149,料金表!$G$6:$H$8,2,FALSE())))),"要確認",IF(F149="",0,VLOOKUP(VALUE(F149),料金表!$A$6:$B$8,2,FALSE()))+IF(G149="",0,VLOOKUP(VALUE(G149),料金表!$D$6:$E$8,2,FALSE()))+IF(H149="",0,VLOOKUP(H149,料金表!$G$6:$H$8,2,FALSE()))))</f>
        <v/>
      </c>
      <c r="L149" s="8" t="str">
        <f t="shared" si="18"/>
        <v/>
      </c>
      <c r="M149" s="1" t="str">
        <f t="shared" si="19"/>
        <v/>
      </c>
    </row>
    <row r="150" spans="1:13" ht="27" customHeight="1">
      <c r="A150" s="8" t="str">
        <f t="shared" si="16"/>
        <v/>
      </c>
      <c r="B150" s="13"/>
      <c r="C150" s="13"/>
      <c r="D150" s="13"/>
      <c r="E150" s="9" t="str">
        <f t="shared" si="17"/>
        <v/>
      </c>
      <c r="F150" s="14"/>
      <c r="G150" s="14"/>
      <c r="H150" s="14"/>
      <c r="I150" s="14"/>
      <c r="J150" s="14"/>
      <c r="K150" s="10" t="str">
        <f>IF(COUNTA(B150:D150,F150:J150)=0,"",IF(OR(AND(F150&lt;&gt;"",ISERROR(VLOOKUP(VALUE(F150),料金表!$A$6:$B$8,2,FALSE()))),AND(G150&lt;&gt;"",ISERROR(VLOOKUP(VALUE(G150),料金表!$D$6:$E$8,2,FALSE()))),AND(H150&lt;&gt;"",ISERROR(VLOOKUP(H150,料金表!$G$6:$H$8,2,FALSE())))),"要確認",IF(F150="",0,VLOOKUP(VALUE(F150),料金表!$A$6:$B$8,2,FALSE()))+IF(G150="",0,VLOOKUP(VALUE(G150),料金表!$D$6:$E$8,2,FALSE()))+IF(H150="",0,VLOOKUP(H150,料金表!$G$6:$H$8,2,FALSE()))))</f>
        <v/>
      </c>
      <c r="L150" s="8" t="str">
        <f t="shared" si="18"/>
        <v/>
      </c>
      <c r="M150" s="1" t="str">
        <f t="shared" si="19"/>
        <v/>
      </c>
    </row>
    <row r="151" spans="1:13" ht="27" customHeight="1">
      <c r="A151" s="8" t="str">
        <f t="shared" si="16"/>
        <v/>
      </c>
      <c r="B151" s="13"/>
      <c r="C151" s="13"/>
      <c r="D151" s="13"/>
      <c r="E151" s="9" t="str">
        <f t="shared" si="17"/>
        <v/>
      </c>
      <c r="F151" s="14"/>
      <c r="G151" s="14"/>
      <c r="H151" s="14"/>
      <c r="I151" s="14"/>
      <c r="J151" s="14"/>
      <c r="K151" s="10" t="str">
        <f>IF(COUNTA(B151:D151,F151:J151)=0,"",IF(OR(AND(F151&lt;&gt;"",ISERROR(VLOOKUP(VALUE(F151),料金表!$A$6:$B$8,2,FALSE()))),AND(G151&lt;&gt;"",ISERROR(VLOOKUP(VALUE(G151),料金表!$D$6:$E$8,2,FALSE()))),AND(H151&lt;&gt;"",ISERROR(VLOOKUP(H151,料金表!$G$6:$H$8,2,FALSE())))),"要確認",IF(F151="",0,VLOOKUP(VALUE(F151),料金表!$A$6:$B$8,2,FALSE()))+IF(G151="",0,VLOOKUP(VALUE(G151),料金表!$D$6:$E$8,2,FALSE()))+IF(H151="",0,VLOOKUP(H151,料金表!$G$6:$H$8,2,FALSE()))))</f>
        <v/>
      </c>
      <c r="L151" s="8" t="str">
        <f t="shared" si="18"/>
        <v/>
      </c>
      <c r="M151" s="1" t="str">
        <f t="shared" si="19"/>
        <v/>
      </c>
    </row>
    <row r="152" spans="1:13" ht="27" customHeight="1">
      <c r="A152" s="8" t="str">
        <f t="shared" si="16"/>
        <v/>
      </c>
      <c r="B152" s="13"/>
      <c r="C152" s="13"/>
      <c r="D152" s="13"/>
      <c r="E152" s="9" t="str">
        <f t="shared" si="17"/>
        <v/>
      </c>
      <c r="F152" s="14"/>
      <c r="G152" s="14"/>
      <c r="H152" s="14"/>
      <c r="I152" s="14"/>
      <c r="J152" s="14"/>
      <c r="K152" s="10" t="str">
        <f>IF(COUNTA(B152:D152,F152:J152)=0,"",IF(OR(AND(F152&lt;&gt;"",ISERROR(VLOOKUP(VALUE(F152),料金表!$A$6:$B$8,2,FALSE()))),AND(G152&lt;&gt;"",ISERROR(VLOOKUP(VALUE(G152),料金表!$D$6:$E$8,2,FALSE()))),AND(H152&lt;&gt;"",ISERROR(VLOOKUP(H152,料金表!$G$6:$H$8,2,FALSE())))),"要確認",IF(F152="",0,VLOOKUP(VALUE(F152),料金表!$A$6:$B$8,2,FALSE()))+IF(G152="",0,VLOOKUP(VALUE(G152),料金表!$D$6:$E$8,2,FALSE()))+IF(H152="",0,VLOOKUP(H152,料金表!$G$6:$H$8,2,FALSE()))))</f>
        <v/>
      </c>
      <c r="L152" s="8" t="str">
        <f t="shared" si="18"/>
        <v/>
      </c>
      <c r="M152" s="1" t="str">
        <f t="shared" si="19"/>
        <v/>
      </c>
    </row>
    <row r="153" spans="1:13" ht="27" customHeight="1">
      <c r="A153" s="8" t="str">
        <f t="shared" si="16"/>
        <v/>
      </c>
      <c r="B153" s="13"/>
      <c r="C153" s="13"/>
      <c r="D153" s="13"/>
      <c r="E153" s="9" t="str">
        <f t="shared" si="17"/>
        <v/>
      </c>
      <c r="F153" s="14"/>
      <c r="G153" s="14"/>
      <c r="H153" s="14"/>
      <c r="I153" s="14"/>
      <c r="J153" s="14"/>
      <c r="K153" s="10" t="str">
        <f>IF(COUNTA(B153:D153,F153:J153)=0,"",IF(OR(AND(F153&lt;&gt;"",ISERROR(VLOOKUP(VALUE(F153),料金表!$A$6:$B$8,2,FALSE()))),AND(G153&lt;&gt;"",ISERROR(VLOOKUP(VALUE(G153),料金表!$D$6:$E$8,2,FALSE()))),AND(H153&lt;&gt;"",ISERROR(VLOOKUP(H153,料金表!$G$6:$H$8,2,FALSE())))),"要確認",IF(F153="",0,VLOOKUP(VALUE(F153),料金表!$A$6:$B$8,2,FALSE()))+IF(G153="",0,VLOOKUP(VALUE(G153),料金表!$D$6:$E$8,2,FALSE()))+IF(H153="",0,VLOOKUP(H153,料金表!$G$6:$H$8,2,FALSE()))))</f>
        <v/>
      </c>
      <c r="L153" s="8" t="str">
        <f t="shared" si="18"/>
        <v/>
      </c>
      <c r="M153" s="1" t="str">
        <f t="shared" si="19"/>
        <v/>
      </c>
    </row>
    <row r="154" spans="1:13" ht="27" customHeight="1">
      <c r="A154" s="8" t="str">
        <f t="shared" si="16"/>
        <v/>
      </c>
      <c r="B154" s="13"/>
      <c r="C154" s="13"/>
      <c r="D154" s="13"/>
      <c r="E154" s="9" t="str">
        <f t="shared" si="17"/>
        <v/>
      </c>
      <c r="F154" s="14"/>
      <c r="G154" s="14"/>
      <c r="H154" s="14"/>
      <c r="I154" s="14"/>
      <c r="J154" s="14"/>
      <c r="K154" s="10" t="str">
        <f>IF(COUNTA(B154:D154,F154:J154)=0,"",IF(OR(AND(F154&lt;&gt;"",ISERROR(VLOOKUP(VALUE(F154),料金表!$A$6:$B$8,2,FALSE()))),AND(G154&lt;&gt;"",ISERROR(VLOOKUP(VALUE(G154),料金表!$D$6:$E$8,2,FALSE()))),AND(H154&lt;&gt;"",ISERROR(VLOOKUP(H154,料金表!$G$6:$H$8,2,FALSE())))),"要確認",IF(F154="",0,VLOOKUP(VALUE(F154),料金表!$A$6:$B$8,2,FALSE()))+IF(G154="",0,VLOOKUP(VALUE(G154),料金表!$D$6:$E$8,2,FALSE()))+IF(H154="",0,VLOOKUP(H154,料金表!$G$6:$H$8,2,FALSE()))))</f>
        <v/>
      </c>
      <c r="L154" s="8" t="str">
        <f t="shared" si="18"/>
        <v/>
      </c>
      <c r="M154" s="1" t="str">
        <f t="shared" si="19"/>
        <v/>
      </c>
    </row>
    <row r="155" spans="1:13" ht="27" customHeight="1">
      <c r="A155" s="8" t="str">
        <f t="shared" si="16"/>
        <v/>
      </c>
      <c r="B155" s="13"/>
      <c r="C155" s="13"/>
      <c r="D155" s="13"/>
      <c r="E155" s="9" t="str">
        <f t="shared" si="17"/>
        <v/>
      </c>
      <c r="F155" s="14"/>
      <c r="G155" s="14"/>
      <c r="H155" s="14"/>
      <c r="I155" s="14"/>
      <c r="J155" s="14"/>
      <c r="K155" s="10" t="str">
        <f>IF(COUNTA(B155:D155,F155:J155)=0,"",IF(OR(AND(F155&lt;&gt;"",ISERROR(VLOOKUP(VALUE(F155),料金表!$A$6:$B$8,2,FALSE()))),AND(G155&lt;&gt;"",ISERROR(VLOOKUP(VALUE(G155),料金表!$D$6:$E$8,2,FALSE()))),AND(H155&lt;&gt;"",ISERROR(VLOOKUP(H155,料金表!$G$6:$H$8,2,FALSE())))),"要確認",IF(F155="",0,VLOOKUP(VALUE(F155),料金表!$A$6:$B$8,2,FALSE()))+IF(G155="",0,VLOOKUP(VALUE(G155),料金表!$D$6:$E$8,2,FALSE()))+IF(H155="",0,VLOOKUP(H155,料金表!$G$6:$H$8,2,FALSE()))))</f>
        <v/>
      </c>
      <c r="L155" s="8" t="str">
        <f t="shared" si="18"/>
        <v/>
      </c>
      <c r="M155" s="1" t="str">
        <f t="shared" si="19"/>
        <v/>
      </c>
    </row>
    <row r="156" spans="1:13" ht="27" customHeight="1">
      <c r="A156" s="8" t="str">
        <f t="shared" si="16"/>
        <v/>
      </c>
      <c r="B156" s="13"/>
      <c r="C156" s="13"/>
      <c r="D156" s="13"/>
      <c r="E156" s="9" t="str">
        <f t="shared" si="17"/>
        <v/>
      </c>
      <c r="F156" s="14"/>
      <c r="G156" s="14"/>
      <c r="H156" s="14"/>
      <c r="I156" s="14"/>
      <c r="J156" s="14"/>
      <c r="K156" s="10" t="str">
        <f>IF(COUNTA(B156:D156,F156:J156)=0,"",IF(OR(AND(F156&lt;&gt;"",ISERROR(VLOOKUP(VALUE(F156),料金表!$A$6:$B$8,2,FALSE()))),AND(G156&lt;&gt;"",ISERROR(VLOOKUP(VALUE(G156),料金表!$D$6:$E$8,2,FALSE()))),AND(H156&lt;&gt;"",ISERROR(VLOOKUP(H156,料金表!$G$6:$H$8,2,FALSE())))),"要確認",IF(F156="",0,VLOOKUP(VALUE(F156),料金表!$A$6:$B$8,2,FALSE()))+IF(G156="",0,VLOOKUP(VALUE(G156),料金表!$D$6:$E$8,2,FALSE()))+IF(H156="",0,VLOOKUP(H156,料金表!$G$6:$H$8,2,FALSE()))))</f>
        <v/>
      </c>
      <c r="L156" s="8" t="str">
        <f t="shared" si="18"/>
        <v/>
      </c>
      <c r="M156" s="1" t="str">
        <f t="shared" si="19"/>
        <v/>
      </c>
    </row>
    <row r="157" spans="1:13" ht="27" customHeight="1">
      <c r="A157" s="8" t="str">
        <f t="shared" si="16"/>
        <v/>
      </c>
      <c r="B157" s="13"/>
      <c r="C157" s="13"/>
      <c r="D157" s="13"/>
      <c r="E157" s="9" t="str">
        <f t="shared" si="17"/>
        <v/>
      </c>
      <c r="F157" s="14"/>
      <c r="G157" s="14"/>
      <c r="H157" s="14"/>
      <c r="I157" s="14"/>
      <c r="J157" s="14"/>
      <c r="K157" s="10" t="str">
        <f>IF(COUNTA(B157:D157,F157:J157)=0,"",IF(OR(AND(F157&lt;&gt;"",ISERROR(VLOOKUP(VALUE(F157),料金表!$A$6:$B$8,2,FALSE()))),AND(G157&lt;&gt;"",ISERROR(VLOOKUP(VALUE(G157),料金表!$D$6:$E$8,2,FALSE()))),AND(H157&lt;&gt;"",ISERROR(VLOOKUP(H157,料金表!$G$6:$H$8,2,FALSE())))),"要確認",IF(F157="",0,VLOOKUP(VALUE(F157),料金表!$A$6:$B$8,2,FALSE()))+IF(G157="",0,VLOOKUP(VALUE(G157),料金表!$D$6:$E$8,2,FALSE()))+IF(H157="",0,VLOOKUP(H157,料金表!$G$6:$H$8,2,FALSE()))))</f>
        <v/>
      </c>
      <c r="L157" s="8" t="str">
        <f t="shared" si="18"/>
        <v/>
      </c>
      <c r="M157" s="1" t="str">
        <f t="shared" si="19"/>
        <v/>
      </c>
    </row>
    <row r="158" spans="1:13" ht="27" customHeight="1">
      <c r="A158" s="8" t="str">
        <f t="shared" si="16"/>
        <v/>
      </c>
      <c r="B158" s="13"/>
      <c r="C158" s="13"/>
      <c r="D158" s="13"/>
      <c r="E158" s="9" t="str">
        <f t="shared" si="17"/>
        <v/>
      </c>
      <c r="F158" s="14"/>
      <c r="G158" s="14"/>
      <c r="H158" s="14"/>
      <c r="I158" s="14"/>
      <c r="J158" s="14"/>
      <c r="K158" s="10" t="str">
        <f>IF(COUNTA(B158:D158,F158:J158)=0,"",IF(OR(AND(F158&lt;&gt;"",ISERROR(VLOOKUP(VALUE(F158),料金表!$A$6:$B$8,2,FALSE()))),AND(G158&lt;&gt;"",ISERROR(VLOOKUP(VALUE(G158),料金表!$D$6:$E$8,2,FALSE()))),AND(H158&lt;&gt;"",ISERROR(VLOOKUP(H158,料金表!$G$6:$H$8,2,FALSE())))),"要確認",IF(F158="",0,VLOOKUP(VALUE(F158),料金表!$A$6:$B$8,2,FALSE()))+IF(G158="",0,VLOOKUP(VALUE(G158),料金表!$D$6:$E$8,2,FALSE()))+IF(H158="",0,VLOOKUP(H158,料金表!$G$6:$H$8,2,FALSE()))))</f>
        <v/>
      </c>
      <c r="L158" s="8" t="str">
        <f t="shared" si="18"/>
        <v/>
      </c>
      <c r="M158" s="1" t="str">
        <f t="shared" si="19"/>
        <v/>
      </c>
    </row>
    <row r="159" spans="1:13" ht="27" customHeight="1">
      <c r="A159" s="8" t="str">
        <f t="shared" si="16"/>
        <v/>
      </c>
      <c r="B159" s="13"/>
      <c r="C159" s="13"/>
      <c r="D159" s="13"/>
      <c r="E159" s="9" t="str">
        <f t="shared" si="17"/>
        <v/>
      </c>
      <c r="F159" s="14"/>
      <c r="G159" s="14"/>
      <c r="H159" s="14"/>
      <c r="I159" s="14"/>
      <c r="J159" s="14"/>
      <c r="K159" s="10" t="str">
        <f>IF(COUNTA(B159:D159,F159:J159)=0,"",IF(OR(AND(F159&lt;&gt;"",ISERROR(VLOOKUP(VALUE(F159),料金表!$A$6:$B$8,2,FALSE()))),AND(G159&lt;&gt;"",ISERROR(VLOOKUP(VALUE(G159),料金表!$D$6:$E$8,2,FALSE()))),AND(H159&lt;&gt;"",ISERROR(VLOOKUP(H159,料金表!$G$6:$H$8,2,FALSE())))),"要確認",IF(F159="",0,VLOOKUP(VALUE(F159),料金表!$A$6:$B$8,2,FALSE()))+IF(G159="",0,VLOOKUP(VALUE(G159),料金表!$D$6:$E$8,2,FALSE()))+IF(H159="",0,VLOOKUP(H159,料金表!$G$6:$H$8,2,FALSE()))))</f>
        <v/>
      </c>
      <c r="L159" s="8" t="str">
        <f t="shared" si="18"/>
        <v/>
      </c>
      <c r="M159" s="1" t="str">
        <f t="shared" si="19"/>
        <v/>
      </c>
    </row>
    <row r="160" spans="1:13" ht="27" customHeight="1">
      <c r="A160" s="8" t="str">
        <f t="shared" si="16"/>
        <v/>
      </c>
      <c r="B160" s="13"/>
      <c r="C160" s="13"/>
      <c r="D160" s="13"/>
      <c r="E160" s="9" t="str">
        <f t="shared" si="17"/>
        <v/>
      </c>
      <c r="F160" s="14"/>
      <c r="G160" s="14"/>
      <c r="H160" s="14"/>
      <c r="I160" s="14"/>
      <c r="J160" s="14"/>
      <c r="K160" s="10" t="str">
        <f>IF(COUNTA(B160:D160,F160:J160)=0,"",IF(OR(AND(F160&lt;&gt;"",ISERROR(VLOOKUP(VALUE(F160),料金表!$A$6:$B$8,2,FALSE()))),AND(G160&lt;&gt;"",ISERROR(VLOOKUP(VALUE(G160),料金表!$D$6:$E$8,2,FALSE()))),AND(H160&lt;&gt;"",ISERROR(VLOOKUP(H160,料金表!$G$6:$H$8,2,FALSE())))),"要確認",IF(F160="",0,VLOOKUP(VALUE(F160),料金表!$A$6:$B$8,2,FALSE()))+IF(G160="",0,VLOOKUP(VALUE(G160),料金表!$D$6:$E$8,2,FALSE()))+IF(H160="",0,VLOOKUP(H160,料金表!$G$6:$H$8,2,FALSE()))))</f>
        <v/>
      </c>
      <c r="L160" s="8" t="str">
        <f t="shared" si="18"/>
        <v/>
      </c>
      <c r="M160" s="1" t="str">
        <f t="shared" si="19"/>
        <v/>
      </c>
    </row>
    <row r="161" spans="1:13" ht="27" customHeight="1">
      <c r="A161" s="8" t="str">
        <f t="shared" si="16"/>
        <v/>
      </c>
      <c r="B161" s="13"/>
      <c r="C161" s="13"/>
      <c r="D161" s="13"/>
      <c r="E161" s="9" t="str">
        <f t="shared" si="17"/>
        <v/>
      </c>
      <c r="F161" s="14"/>
      <c r="G161" s="14"/>
      <c r="H161" s="14"/>
      <c r="I161" s="14"/>
      <c r="J161" s="14"/>
      <c r="K161" s="10" t="str">
        <f>IF(COUNTA(B161:D161,F161:J161)=0,"",IF(OR(AND(F161&lt;&gt;"",ISERROR(VLOOKUP(VALUE(F161),料金表!$A$6:$B$8,2,FALSE()))),AND(G161&lt;&gt;"",ISERROR(VLOOKUP(VALUE(G161),料金表!$D$6:$E$8,2,FALSE()))),AND(H161&lt;&gt;"",ISERROR(VLOOKUP(H161,料金表!$G$6:$H$8,2,FALSE())))),"要確認",IF(F161="",0,VLOOKUP(VALUE(F161),料金表!$A$6:$B$8,2,FALSE()))+IF(G161="",0,VLOOKUP(VALUE(G161),料金表!$D$6:$E$8,2,FALSE()))+IF(H161="",0,VLOOKUP(H161,料金表!$G$6:$H$8,2,FALSE()))))</f>
        <v/>
      </c>
      <c r="L161" s="8" t="str">
        <f t="shared" si="18"/>
        <v/>
      </c>
      <c r="M161" s="1" t="str">
        <f t="shared" si="19"/>
        <v/>
      </c>
    </row>
    <row r="162" spans="1:13" ht="27" customHeight="1">
      <c r="A162" s="8" t="str">
        <f t="shared" si="16"/>
        <v/>
      </c>
      <c r="B162" s="13"/>
      <c r="C162" s="13"/>
      <c r="D162" s="13"/>
      <c r="E162" s="9" t="str">
        <f t="shared" si="17"/>
        <v/>
      </c>
      <c r="F162" s="14"/>
      <c r="G162" s="14"/>
      <c r="H162" s="14"/>
      <c r="I162" s="14"/>
      <c r="J162" s="14"/>
      <c r="K162" s="10" t="str">
        <f>IF(COUNTA(B162:D162,F162:J162)=0,"",IF(OR(AND(F162&lt;&gt;"",ISERROR(VLOOKUP(VALUE(F162),料金表!$A$6:$B$8,2,FALSE()))),AND(G162&lt;&gt;"",ISERROR(VLOOKUP(VALUE(G162),料金表!$D$6:$E$8,2,FALSE()))),AND(H162&lt;&gt;"",ISERROR(VLOOKUP(H162,料金表!$G$6:$H$8,2,FALSE())))),"要確認",IF(F162="",0,VLOOKUP(VALUE(F162),料金表!$A$6:$B$8,2,FALSE()))+IF(G162="",0,VLOOKUP(VALUE(G162),料金表!$D$6:$E$8,2,FALSE()))+IF(H162="",0,VLOOKUP(H162,料金表!$G$6:$H$8,2,FALSE()))))</f>
        <v/>
      </c>
      <c r="L162" s="8" t="str">
        <f t="shared" si="18"/>
        <v/>
      </c>
      <c r="M162" s="1" t="str">
        <f t="shared" si="19"/>
        <v/>
      </c>
    </row>
    <row r="163" spans="1:13" ht="27" customHeight="1">
      <c r="A163" s="8" t="str">
        <f t="shared" si="16"/>
        <v/>
      </c>
      <c r="B163" s="13"/>
      <c r="C163" s="13"/>
      <c r="D163" s="13"/>
      <c r="E163" s="9" t="str">
        <f t="shared" si="17"/>
        <v/>
      </c>
      <c r="F163" s="14"/>
      <c r="G163" s="14"/>
      <c r="H163" s="14"/>
      <c r="I163" s="14"/>
      <c r="J163" s="14"/>
      <c r="K163" s="10" t="str">
        <f>IF(COUNTA(B163:D163,F163:J163)=0,"",IF(OR(AND(F163&lt;&gt;"",ISERROR(VLOOKUP(VALUE(F163),料金表!$A$6:$B$8,2,FALSE()))),AND(G163&lt;&gt;"",ISERROR(VLOOKUP(VALUE(G163),料金表!$D$6:$E$8,2,FALSE()))),AND(H163&lt;&gt;"",ISERROR(VLOOKUP(H163,料金表!$G$6:$H$8,2,FALSE())))),"要確認",IF(F163="",0,VLOOKUP(VALUE(F163),料金表!$A$6:$B$8,2,FALSE()))+IF(G163="",0,VLOOKUP(VALUE(G163),料金表!$D$6:$E$8,2,FALSE()))+IF(H163="",0,VLOOKUP(H163,料金表!$G$6:$H$8,2,FALSE()))))</f>
        <v/>
      </c>
      <c r="L163" s="8" t="str">
        <f t="shared" si="18"/>
        <v/>
      </c>
      <c r="M163" s="1" t="str">
        <f t="shared" si="19"/>
        <v/>
      </c>
    </row>
    <row r="164" spans="1:13" ht="27" customHeight="1">
      <c r="A164" s="8" t="str">
        <f t="shared" si="16"/>
        <v/>
      </c>
      <c r="B164" s="13"/>
      <c r="C164" s="13"/>
      <c r="D164" s="13"/>
      <c r="E164" s="9" t="str">
        <f t="shared" si="17"/>
        <v/>
      </c>
      <c r="F164" s="14"/>
      <c r="G164" s="14"/>
      <c r="H164" s="14"/>
      <c r="I164" s="14"/>
      <c r="J164" s="14"/>
      <c r="K164" s="10" t="str">
        <f>IF(COUNTA(B164:D164,F164:J164)=0,"",IF(OR(AND(F164&lt;&gt;"",ISERROR(VLOOKUP(VALUE(F164),料金表!$A$6:$B$8,2,FALSE()))),AND(G164&lt;&gt;"",ISERROR(VLOOKUP(VALUE(G164),料金表!$D$6:$E$8,2,FALSE()))),AND(H164&lt;&gt;"",ISERROR(VLOOKUP(H164,料金表!$G$6:$H$8,2,FALSE())))),"要確認",IF(F164="",0,VLOOKUP(VALUE(F164),料金表!$A$6:$B$8,2,FALSE()))+IF(G164="",0,VLOOKUP(VALUE(G164),料金表!$D$6:$E$8,2,FALSE()))+IF(H164="",0,VLOOKUP(H164,料金表!$G$6:$H$8,2,FALSE()))))</f>
        <v/>
      </c>
      <c r="L164" s="8" t="str">
        <f t="shared" si="18"/>
        <v/>
      </c>
      <c r="M164" s="1" t="str">
        <f t="shared" si="19"/>
        <v/>
      </c>
    </row>
    <row r="165" spans="1:13" ht="27" customHeight="1">
      <c r="A165" s="8" t="str">
        <f t="shared" si="16"/>
        <v/>
      </c>
      <c r="B165" s="13"/>
      <c r="C165" s="13"/>
      <c r="D165" s="13"/>
      <c r="E165" s="9" t="str">
        <f t="shared" si="17"/>
        <v/>
      </c>
      <c r="F165" s="14"/>
      <c r="G165" s="14"/>
      <c r="H165" s="14"/>
      <c r="I165" s="14"/>
      <c r="J165" s="14"/>
      <c r="K165" s="10" t="str">
        <f>IF(COUNTA(B165:D165,F165:J165)=0,"",IF(OR(AND(F165&lt;&gt;"",ISERROR(VLOOKUP(VALUE(F165),料金表!$A$6:$B$8,2,FALSE()))),AND(G165&lt;&gt;"",ISERROR(VLOOKUP(VALUE(G165),料金表!$D$6:$E$8,2,FALSE()))),AND(H165&lt;&gt;"",ISERROR(VLOOKUP(H165,料金表!$G$6:$H$8,2,FALSE())))),"要確認",IF(F165="",0,VLOOKUP(VALUE(F165),料金表!$A$6:$B$8,2,FALSE()))+IF(G165="",0,VLOOKUP(VALUE(G165),料金表!$D$6:$E$8,2,FALSE()))+IF(H165="",0,VLOOKUP(H165,料金表!$G$6:$H$8,2,FALSE()))))</f>
        <v/>
      </c>
      <c r="L165" s="8" t="str">
        <f t="shared" si="18"/>
        <v/>
      </c>
      <c r="M165" s="1" t="str">
        <f t="shared" si="19"/>
        <v/>
      </c>
    </row>
    <row r="166" spans="1:13" ht="27" customHeight="1">
      <c r="A166" s="8" t="str">
        <f t="shared" si="16"/>
        <v/>
      </c>
      <c r="B166" s="13"/>
      <c r="C166" s="13"/>
      <c r="D166" s="13"/>
      <c r="E166" s="9" t="str">
        <f t="shared" si="17"/>
        <v/>
      </c>
      <c r="F166" s="14"/>
      <c r="G166" s="14"/>
      <c r="H166" s="14"/>
      <c r="I166" s="14"/>
      <c r="J166" s="14"/>
      <c r="K166" s="10" t="str">
        <f>IF(COUNTA(B166:D166,F166:J166)=0,"",IF(OR(AND(F166&lt;&gt;"",ISERROR(VLOOKUP(VALUE(F166),料金表!$A$6:$B$8,2,FALSE()))),AND(G166&lt;&gt;"",ISERROR(VLOOKUP(VALUE(G166),料金表!$D$6:$E$8,2,FALSE()))),AND(H166&lt;&gt;"",ISERROR(VLOOKUP(H166,料金表!$G$6:$H$8,2,FALSE())))),"要確認",IF(F166="",0,VLOOKUP(VALUE(F166),料金表!$A$6:$B$8,2,FALSE()))+IF(G166="",0,VLOOKUP(VALUE(G166),料金表!$D$6:$E$8,2,FALSE()))+IF(H166="",0,VLOOKUP(H166,料金表!$G$6:$H$8,2,FALSE()))))</f>
        <v/>
      </c>
      <c r="L166" s="8" t="str">
        <f t="shared" si="18"/>
        <v/>
      </c>
      <c r="M166" s="1" t="str">
        <f t="shared" si="19"/>
        <v/>
      </c>
    </row>
    <row r="167" spans="1:13" ht="27" customHeight="1">
      <c r="A167" s="8" t="str">
        <f t="shared" si="16"/>
        <v/>
      </c>
      <c r="B167" s="13"/>
      <c r="C167" s="13"/>
      <c r="D167" s="13"/>
      <c r="E167" s="9" t="str">
        <f t="shared" si="17"/>
        <v/>
      </c>
      <c r="F167" s="14"/>
      <c r="G167" s="14"/>
      <c r="H167" s="14"/>
      <c r="I167" s="14"/>
      <c r="J167" s="14"/>
      <c r="K167" s="10" t="str">
        <f>IF(COUNTA(B167:D167,F167:J167)=0,"",IF(OR(AND(F167&lt;&gt;"",ISERROR(VLOOKUP(VALUE(F167),料金表!$A$6:$B$8,2,FALSE()))),AND(G167&lt;&gt;"",ISERROR(VLOOKUP(VALUE(G167),料金表!$D$6:$E$8,2,FALSE()))),AND(H167&lt;&gt;"",ISERROR(VLOOKUP(H167,料金表!$G$6:$H$8,2,FALSE())))),"要確認",IF(F167="",0,VLOOKUP(VALUE(F167),料金表!$A$6:$B$8,2,FALSE()))+IF(G167="",0,VLOOKUP(VALUE(G167),料金表!$D$6:$E$8,2,FALSE()))+IF(H167="",0,VLOOKUP(H167,料金表!$G$6:$H$8,2,FALSE()))))</f>
        <v/>
      </c>
      <c r="L167" s="8" t="str">
        <f t="shared" si="18"/>
        <v/>
      </c>
      <c r="M167" s="1" t="str">
        <f t="shared" si="19"/>
        <v/>
      </c>
    </row>
    <row r="168" spans="1:13" ht="27" customHeight="1">
      <c r="A168" s="8" t="str">
        <f t="shared" si="16"/>
        <v/>
      </c>
      <c r="B168" s="13"/>
      <c r="C168" s="13"/>
      <c r="D168" s="13"/>
      <c r="E168" s="9" t="str">
        <f t="shared" si="17"/>
        <v/>
      </c>
      <c r="F168" s="14"/>
      <c r="G168" s="14"/>
      <c r="H168" s="14"/>
      <c r="I168" s="14"/>
      <c r="J168" s="14"/>
      <c r="K168" s="10" t="str">
        <f>IF(COUNTA(B168:D168,F168:J168)=0,"",IF(OR(AND(F168&lt;&gt;"",ISERROR(VLOOKUP(VALUE(F168),料金表!$A$6:$B$8,2,FALSE()))),AND(G168&lt;&gt;"",ISERROR(VLOOKUP(VALUE(G168),料金表!$D$6:$E$8,2,FALSE()))),AND(H168&lt;&gt;"",ISERROR(VLOOKUP(H168,料金表!$G$6:$H$8,2,FALSE())))),"要確認",IF(F168="",0,VLOOKUP(VALUE(F168),料金表!$A$6:$B$8,2,FALSE()))+IF(G168="",0,VLOOKUP(VALUE(G168),料金表!$D$6:$E$8,2,FALSE()))+IF(H168="",0,VLOOKUP(H168,料金表!$G$6:$H$8,2,FALSE()))))</f>
        <v/>
      </c>
      <c r="L168" s="8" t="str">
        <f t="shared" si="18"/>
        <v/>
      </c>
      <c r="M168" s="1" t="str">
        <f t="shared" si="19"/>
        <v/>
      </c>
    </row>
    <row r="169" spans="1:13" ht="27" customHeight="1">
      <c r="A169" s="8" t="str">
        <f t="shared" si="16"/>
        <v/>
      </c>
      <c r="B169" s="13"/>
      <c r="C169" s="13"/>
      <c r="D169" s="13"/>
      <c r="E169" s="9" t="str">
        <f t="shared" si="17"/>
        <v/>
      </c>
      <c r="F169" s="14"/>
      <c r="G169" s="14"/>
      <c r="H169" s="14"/>
      <c r="I169" s="14"/>
      <c r="J169" s="14"/>
      <c r="K169" s="10" t="str">
        <f>IF(COUNTA(B169:D169,F169:J169)=0,"",IF(OR(AND(F169&lt;&gt;"",ISERROR(VLOOKUP(VALUE(F169),料金表!$A$6:$B$8,2,FALSE()))),AND(G169&lt;&gt;"",ISERROR(VLOOKUP(VALUE(G169),料金表!$D$6:$E$8,2,FALSE()))),AND(H169&lt;&gt;"",ISERROR(VLOOKUP(H169,料金表!$G$6:$H$8,2,FALSE())))),"要確認",IF(F169="",0,VLOOKUP(VALUE(F169),料金表!$A$6:$B$8,2,FALSE()))+IF(G169="",0,VLOOKUP(VALUE(G169),料金表!$D$6:$E$8,2,FALSE()))+IF(H169="",0,VLOOKUP(H169,料金表!$G$6:$H$8,2,FALSE()))))</f>
        <v/>
      </c>
      <c r="L169" s="8" t="str">
        <f t="shared" si="18"/>
        <v/>
      </c>
      <c r="M169" s="1" t="str">
        <f t="shared" si="19"/>
        <v/>
      </c>
    </row>
    <row r="170" spans="1:13" ht="27" customHeight="1">
      <c r="A170" s="8" t="str">
        <f t="shared" si="16"/>
        <v/>
      </c>
      <c r="B170" s="13"/>
      <c r="C170" s="13"/>
      <c r="D170" s="13"/>
      <c r="E170" s="9" t="str">
        <f t="shared" si="17"/>
        <v/>
      </c>
      <c r="F170" s="14"/>
      <c r="G170" s="14"/>
      <c r="H170" s="14"/>
      <c r="I170" s="14"/>
      <c r="J170" s="14"/>
      <c r="K170" s="10" t="str">
        <f>IF(COUNTA(B170:D170,F170:J170)=0,"",IF(OR(AND(F170&lt;&gt;"",ISERROR(VLOOKUP(VALUE(F170),料金表!$A$6:$B$8,2,FALSE()))),AND(G170&lt;&gt;"",ISERROR(VLOOKUP(VALUE(G170),料金表!$D$6:$E$8,2,FALSE()))),AND(H170&lt;&gt;"",ISERROR(VLOOKUP(H170,料金表!$G$6:$H$8,2,FALSE())))),"要確認",IF(F170="",0,VLOOKUP(VALUE(F170),料金表!$A$6:$B$8,2,FALSE()))+IF(G170="",0,VLOOKUP(VALUE(G170),料金表!$D$6:$E$8,2,FALSE()))+IF(H170="",0,VLOOKUP(H170,料金表!$G$6:$H$8,2,FALSE()))))</f>
        <v/>
      </c>
      <c r="L170" s="8" t="str">
        <f t="shared" si="18"/>
        <v/>
      </c>
      <c r="M170" s="1" t="str">
        <f t="shared" si="19"/>
        <v/>
      </c>
    </row>
    <row r="171" spans="1:13" ht="27" customHeight="1">
      <c r="A171" s="8" t="str">
        <f t="shared" si="16"/>
        <v/>
      </c>
      <c r="B171" s="13"/>
      <c r="C171" s="13"/>
      <c r="D171" s="13"/>
      <c r="E171" s="9" t="str">
        <f t="shared" si="17"/>
        <v/>
      </c>
      <c r="F171" s="14"/>
      <c r="G171" s="14"/>
      <c r="H171" s="14"/>
      <c r="I171" s="14"/>
      <c r="J171" s="14"/>
      <c r="K171" s="10" t="str">
        <f>IF(COUNTA(B171:D171,F171:J171)=0,"",IF(OR(AND(F171&lt;&gt;"",ISERROR(VLOOKUP(VALUE(F171),料金表!$A$6:$B$8,2,FALSE()))),AND(G171&lt;&gt;"",ISERROR(VLOOKUP(VALUE(G171),料金表!$D$6:$E$8,2,FALSE()))),AND(H171&lt;&gt;"",ISERROR(VLOOKUP(H171,料金表!$G$6:$H$8,2,FALSE())))),"要確認",IF(F171="",0,VLOOKUP(VALUE(F171),料金表!$A$6:$B$8,2,FALSE()))+IF(G171="",0,VLOOKUP(VALUE(G171),料金表!$D$6:$E$8,2,FALSE()))+IF(H171="",0,VLOOKUP(H171,料金表!$G$6:$H$8,2,FALSE()))))</f>
        <v/>
      </c>
      <c r="L171" s="8" t="str">
        <f t="shared" si="18"/>
        <v/>
      </c>
      <c r="M171" s="1" t="str">
        <f t="shared" si="19"/>
        <v/>
      </c>
    </row>
    <row r="172" spans="1:13" ht="27" customHeight="1">
      <c r="A172" s="8" t="str">
        <f t="shared" si="16"/>
        <v/>
      </c>
      <c r="B172" s="13"/>
      <c r="C172" s="13"/>
      <c r="D172" s="13"/>
      <c r="E172" s="9" t="str">
        <f t="shared" si="17"/>
        <v/>
      </c>
      <c r="F172" s="14"/>
      <c r="G172" s="14"/>
      <c r="H172" s="14"/>
      <c r="I172" s="14"/>
      <c r="J172" s="14"/>
      <c r="K172" s="10" t="str">
        <f>IF(COUNTA(B172:D172,F172:J172)=0,"",IF(OR(AND(F172&lt;&gt;"",ISERROR(VLOOKUP(VALUE(F172),料金表!$A$6:$B$8,2,FALSE()))),AND(G172&lt;&gt;"",ISERROR(VLOOKUP(VALUE(G172),料金表!$D$6:$E$8,2,FALSE()))),AND(H172&lt;&gt;"",ISERROR(VLOOKUP(H172,料金表!$G$6:$H$8,2,FALSE())))),"要確認",IF(F172="",0,VLOOKUP(VALUE(F172),料金表!$A$6:$B$8,2,FALSE()))+IF(G172="",0,VLOOKUP(VALUE(G172),料金表!$D$6:$E$8,2,FALSE()))+IF(H172="",0,VLOOKUP(H172,料金表!$G$6:$H$8,2,FALSE()))))</f>
        <v/>
      </c>
      <c r="L172" s="8" t="str">
        <f t="shared" si="18"/>
        <v/>
      </c>
      <c r="M172" s="1" t="str">
        <f t="shared" si="19"/>
        <v/>
      </c>
    </row>
    <row r="173" spans="1:13" ht="27" customHeight="1">
      <c r="A173" s="8" t="str">
        <f t="shared" ref="A173:A204" si="20">IF(COUNTA(B173:D173,F173:J173)=0,"",ROW()-12)</f>
        <v/>
      </c>
      <c r="B173" s="13"/>
      <c r="C173" s="13"/>
      <c r="D173" s="13"/>
      <c r="E173" s="9" t="str">
        <f t="shared" ref="E173:E204" si="21">IF(COUNTA(B173:D173,F173:J173)=0,"",IF(COUNTA($C$4)=0,"",$C$4))</f>
        <v/>
      </c>
      <c r="F173" s="14"/>
      <c r="G173" s="14"/>
      <c r="H173" s="14"/>
      <c r="I173" s="14"/>
      <c r="J173" s="14"/>
      <c r="K173" s="10" t="str">
        <f>IF(COUNTA(B173:D173,F173:J173)=0,"",IF(OR(AND(F173&lt;&gt;"",ISERROR(VLOOKUP(VALUE(F173),料金表!$A$6:$B$8,2,FALSE()))),AND(G173&lt;&gt;"",ISERROR(VLOOKUP(VALUE(G173),料金表!$D$6:$E$8,2,FALSE()))),AND(H173&lt;&gt;"",ISERROR(VLOOKUP(H173,料金表!$G$6:$H$8,2,FALSE())))),"要確認",IF(F173="",0,VLOOKUP(VALUE(F173),料金表!$A$6:$B$8,2,FALSE()))+IF(G173="",0,VLOOKUP(VALUE(G173),料金表!$D$6:$E$8,2,FALSE()))+IF(H173="",0,VLOOKUP(H173,料金表!$G$6:$H$8,2,FALSE()))))</f>
        <v/>
      </c>
      <c r="L173" s="8" t="str">
        <f t="shared" ref="L173:L204" si="22">IF(COUNTA(B173:D173,F173:J173)=0,"",IF(OR(B173="",C173="",D173=""),"要確認：氏名・カナ・生年月日",IF(NOT(AND(ISTEXT(B173),LEN(B173)-LEN(SUBSTITUTE(B173," ",""))=1,LEFT(B173,1)&lt;&gt;" ",RIGHT(B173,1)&lt;&gt;" ",ISERROR(SEARCH("　",B173)))),"要確認：姓と名に半角スペース",IF(NOT(IFERROR(AND(ISTEXT(D173),LEN(D173)&gt;=8,LEN(D173)&lt;=10,MID(D173,5,1)="/",LEN(D173)-LEN(SUBSTITUTE(D173,"/",""))=2,FIND("/",D173,6)&gt;=7,FIND("/",D173,6)&lt;=8,LEN(D173)-FIND("/",D173,6)&gt;=1,LEN(D173)-FIND("/",D173,6)&lt;=2,YEAR(DATE(VALUE(LEFT(D173,4)),VALUE(MID(D173,6,FIND("/",D173,6)-6)),VALUE(MID(D173,FIND("/",D173,6)+1,2))))=VALUE(LEFT(D173,4)),MONTH(DATE(VALUE(LEFT(D173,4)),VALUE(MID(D173,6,FIND("/",D173,6)-6)),VALUE(MID(D173,FIND("/",D173,6)+1,2))))=VALUE(MID(D173,6,FIND("/",D173,6)-6)),DAY(DATE(VALUE(LEFT(D173,4)),VALUE(MID(D173,6,FIND("/",D173,6)-6)),VALUE(MID(D173,FIND("/",D173,6)+1,2))))=VALUE(MID(D173,FIND("/",D173,6)+1,2)),DATE(VALUE(LEFT(D173,4)),VALUE(MID(D173,6,FIND("/",D173,6)-6)),VALUE(MID(D173,FIND("/",D173,6)+1,2)))&gt;=DATE(1900,1,1),DATE(VALUE(LEFT(D173,4)),VALUE(MID(D173,6,FIND("/",D173,6)-6)),VALUE(MID(D173,FIND("/",D173,6)+1,2)))&lt;=$B$3,NOT(AND(VALUE(LEFT(D173,4))=1900,VALUE(MID(D173,6,FIND("/",D173,6)-6))=2,VALUE(MID(D173,FIND("/",D173,6)+1,2))=29))),FALSE())),"要確認：生年月日は西暦/月/日",IF(COUNTA(F173:H173)=0,"要確認：受験種目",IF(NOT(ISNUMBER(K173)),"要確認：級・段位",IF(AND(I173&lt;&gt;"",NOT(OR(I173="未確認",I173="はい",I173="いいえ"))),"要確認：初受験",IF(OR(AND(F173&lt;&gt;"",COUNTIFS($B$13:$B$212,B173,$M$13:$M$212,M173,$F$13:$F$212,F173)&gt;1),AND(G173&lt;&gt;"",COUNTIFS($B$13:$B$212,B173,$M$13:$M$212,M173,$G$13:$G$212,G173)&gt;1),AND(H173&lt;&gt;"",COUNTIFS($B$13:$B$212,B173,$M$13:$M$212,M173,$H$13:$H$212,H173)&gt;1)),"要確認：同じ種目・級が重複",""))))))))</f>
        <v/>
      </c>
      <c r="M173" s="1" t="str">
        <f t="shared" ref="M173:M204" si="23">IF(D173="","",IFERROR(DATE(VALUE(LEFT(D173,4)),VALUE(MID(D173,6,FIND("/",D173,6)-6)),VALUE(MID(D173,FIND("/",D173,6)+1,2))),""))</f>
        <v/>
      </c>
    </row>
    <row r="174" spans="1:13" ht="27" customHeight="1">
      <c r="A174" s="8" t="str">
        <f t="shared" si="20"/>
        <v/>
      </c>
      <c r="B174" s="13"/>
      <c r="C174" s="13"/>
      <c r="D174" s="13"/>
      <c r="E174" s="9" t="str">
        <f t="shared" si="21"/>
        <v/>
      </c>
      <c r="F174" s="14"/>
      <c r="G174" s="14"/>
      <c r="H174" s="14"/>
      <c r="I174" s="14"/>
      <c r="J174" s="14"/>
      <c r="K174" s="10" t="str">
        <f>IF(COUNTA(B174:D174,F174:J174)=0,"",IF(OR(AND(F174&lt;&gt;"",ISERROR(VLOOKUP(VALUE(F174),料金表!$A$6:$B$8,2,FALSE()))),AND(G174&lt;&gt;"",ISERROR(VLOOKUP(VALUE(G174),料金表!$D$6:$E$8,2,FALSE()))),AND(H174&lt;&gt;"",ISERROR(VLOOKUP(H174,料金表!$G$6:$H$8,2,FALSE())))),"要確認",IF(F174="",0,VLOOKUP(VALUE(F174),料金表!$A$6:$B$8,2,FALSE()))+IF(G174="",0,VLOOKUP(VALUE(G174),料金表!$D$6:$E$8,2,FALSE()))+IF(H174="",0,VLOOKUP(H174,料金表!$G$6:$H$8,2,FALSE()))))</f>
        <v/>
      </c>
      <c r="L174" s="8" t="str">
        <f t="shared" si="22"/>
        <v/>
      </c>
      <c r="M174" s="1" t="str">
        <f t="shared" si="23"/>
        <v/>
      </c>
    </row>
    <row r="175" spans="1:13" ht="27" customHeight="1">
      <c r="A175" s="8" t="str">
        <f t="shared" si="20"/>
        <v/>
      </c>
      <c r="B175" s="13"/>
      <c r="C175" s="13"/>
      <c r="D175" s="13"/>
      <c r="E175" s="9" t="str">
        <f t="shared" si="21"/>
        <v/>
      </c>
      <c r="F175" s="14"/>
      <c r="G175" s="14"/>
      <c r="H175" s="14"/>
      <c r="I175" s="14"/>
      <c r="J175" s="14"/>
      <c r="K175" s="10" t="str">
        <f>IF(COUNTA(B175:D175,F175:J175)=0,"",IF(OR(AND(F175&lt;&gt;"",ISERROR(VLOOKUP(VALUE(F175),料金表!$A$6:$B$8,2,FALSE()))),AND(G175&lt;&gt;"",ISERROR(VLOOKUP(VALUE(G175),料金表!$D$6:$E$8,2,FALSE()))),AND(H175&lt;&gt;"",ISERROR(VLOOKUP(H175,料金表!$G$6:$H$8,2,FALSE())))),"要確認",IF(F175="",0,VLOOKUP(VALUE(F175),料金表!$A$6:$B$8,2,FALSE()))+IF(G175="",0,VLOOKUP(VALUE(G175),料金表!$D$6:$E$8,2,FALSE()))+IF(H175="",0,VLOOKUP(H175,料金表!$G$6:$H$8,2,FALSE()))))</f>
        <v/>
      </c>
      <c r="L175" s="8" t="str">
        <f t="shared" si="22"/>
        <v/>
      </c>
      <c r="M175" s="1" t="str">
        <f t="shared" si="23"/>
        <v/>
      </c>
    </row>
    <row r="176" spans="1:13" ht="27" customHeight="1">
      <c r="A176" s="8" t="str">
        <f t="shared" si="20"/>
        <v/>
      </c>
      <c r="B176" s="13"/>
      <c r="C176" s="13"/>
      <c r="D176" s="13"/>
      <c r="E176" s="9" t="str">
        <f t="shared" si="21"/>
        <v/>
      </c>
      <c r="F176" s="14"/>
      <c r="G176" s="14"/>
      <c r="H176" s="14"/>
      <c r="I176" s="14"/>
      <c r="J176" s="14"/>
      <c r="K176" s="10" t="str">
        <f>IF(COUNTA(B176:D176,F176:J176)=0,"",IF(OR(AND(F176&lt;&gt;"",ISERROR(VLOOKUP(VALUE(F176),料金表!$A$6:$B$8,2,FALSE()))),AND(G176&lt;&gt;"",ISERROR(VLOOKUP(VALUE(G176),料金表!$D$6:$E$8,2,FALSE()))),AND(H176&lt;&gt;"",ISERROR(VLOOKUP(H176,料金表!$G$6:$H$8,2,FALSE())))),"要確認",IF(F176="",0,VLOOKUP(VALUE(F176),料金表!$A$6:$B$8,2,FALSE()))+IF(G176="",0,VLOOKUP(VALUE(G176),料金表!$D$6:$E$8,2,FALSE()))+IF(H176="",0,VLOOKUP(H176,料金表!$G$6:$H$8,2,FALSE()))))</f>
        <v/>
      </c>
      <c r="L176" s="8" t="str">
        <f t="shared" si="22"/>
        <v/>
      </c>
      <c r="M176" s="1" t="str">
        <f t="shared" si="23"/>
        <v/>
      </c>
    </row>
    <row r="177" spans="1:13" ht="27" customHeight="1">
      <c r="A177" s="8" t="str">
        <f t="shared" si="20"/>
        <v/>
      </c>
      <c r="B177" s="13"/>
      <c r="C177" s="13"/>
      <c r="D177" s="13"/>
      <c r="E177" s="9" t="str">
        <f t="shared" si="21"/>
        <v/>
      </c>
      <c r="F177" s="14"/>
      <c r="G177" s="14"/>
      <c r="H177" s="14"/>
      <c r="I177" s="14"/>
      <c r="J177" s="14"/>
      <c r="K177" s="10" t="str">
        <f>IF(COUNTA(B177:D177,F177:J177)=0,"",IF(OR(AND(F177&lt;&gt;"",ISERROR(VLOOKUP(VALUE(F177),料金表!$A$6:$B$8,2,FALSE()))),AND(G177&lt;&gt;"",ISERROR(VLOOKUP(VALUE(G177),料金表!$D$6:$E$8,2,FALSE()))),AND(H177&lt;&gt;"",ISERROR(VLOOKUP(H177,料金表!$G$6:$H$8,2,FALSE())))),"要確認",IF(F177="",0,VLOOKUP(VALUE(F177),料金表!$A$6:$B$8,2,FALSE()))+IF(G177="",0,VLOOKUP(VALUE(G177),料金表!$D$6:$E$8,2,FALSE()))+IF(H177="",0,VLOOKUP(H177,料金表!$G$6:$H$8,2,FALSE()))))</f>
        <v/>
      </c>
      <c r="L177" s="8" t="str">
        <f t="shared" si="22"/>
        <v/>
      </c>
      <c r="M177" s="1" t="str">
        <f t="shared" si="23"/>
        <v/>
      </c>
    </row>
    <row r="178" spans="1:13" ht="27" customHeight="1">
      <c r="A178" s="8" t="str">
        <f t="shared" si="20"/>
        <v/>
      </c>
      <c r="B178" s="13"/>
      <c r="C178" s="13"/>
      <c r="D178" s="13"/>
      <c r="E178" s="9" t="str">
        <f t="shared" si="21"/>
        <v/>
      </c>
      <c r="F178" s="14"/>
      <c r="G178" s="14"/>
      <c r="H178" s="14"/>
      <c r="I178" s="14"/>
      <c r="J178" s="14"/>
      <c r="K178" s="10" t="str">
        <f>IF(COUNTA(B178:D178,F178:J178)=0,"",IF(OR(AND(F178&lt;&gt;"",ISERROR(VLOOKUP(VALUE(F178),料金表!$A$6:$B$8,2,FALSE()))),AND(G178&lt;&gt;"",ISERROR(VLOOKUP(VALUE(G178),料金表!$D$6:$E$8,2,FALSE()))),AND(H178&lt;&gt;"",ISERROR(VLOOKUP(H178,料金表!$G$6:$H$8,2,FALSE())))),"要確認",IF(F178="",0,VLOOKUP(VALUE(F178),料金表!$A$6:$B$8,2,FALSE()))+IF(G178="",0,VLOOKUP(VALUE(G178),料金表!$D$6:$E$8,2,FALSE()))+IF(H178="",0,VLOOKUP(H178,料金表!$G$6:$H$8,2,FALSE()))))</f>
        <v/>
      </c>
      <c r="L178" s="8" t="str">
        <f t="shared" si="22"/>
        <v/>
      </c>
      <c r="M178" s="1" t="str">
        <f t="shared" si="23"/>
        <v/>
      </c>
    </row>
    <row r="179" spans="1:13" ht="27" customHeight="1">
      <c r="A179" s="8" t="str">
        <f t="shared" si="20"/>
        <v/>
      </c>
      <c r="B179" s="13"/>
      <c r="C179" s="13"/>
      <c r="D179" s="13"/>
      <c r="E179" s="9" t="str">
        <f t="shared" si="21"/>
        <v/>
      </c>
      <c r="F179" s="14"/>
      <c r="G179" s="14"/>
      <c r="H179" s="14"/>
      <c r="I179" s="14"/>
      <c r="J179" s="14"/>
      <c r="K179" s="10" t="str">
        <f>IF(COUNTA(B179:D179,F179:J179)=0,"",IF(OR(AND(F179&lt;&gt;"",ISERROR(VLOOKUP(VALUE(F179),料金表!$A$6:$B$8,2,FALSE()))),AND(G179&lt;&gt;"",ISERROR(VLOOKUP(VALUE(G179),料金表!$D$6:$E$8,2,FALSE()))),AND(H179&lt;&gt;"",ISERROR(VLOOKUP(H179,料金表!$G$6:$H$8,2,FALSE())))),"要確認",IF(F179="",0,VLOOKUP(VALUE(F179),料金表!$A$6:$B$8,2,FALSE()))+IF(G179="",0,VLOOKUP(VALUE(G179),料金表!$D$6:$E$8,2,FALSE()))+IF(H179="",0,VLOOKUP(H179,料金表!$G$6:$H$8,2,FALSE()))))</f>
        <v/>
      </c>
      <c r="L179" s="8" t="str">
        <f t="shared" si="22"/>
        <v/>
      </c>
      <c r="M179" s="1" t="str">
        <f t="shared" si="23"/>
        <v/>
      </c>
    </row>
    <row r="180" spans="1:13" ht="27" customHeight="1">
      <c r="A180" s="8" t="str">
        <f t="shared" si="20"/>
        <v/>
      </c>
      <c r="B180" s="13"/>
      <c r="C180" s="13"/>
      <c r="D180" s="13"/>
      <c r="E180" s="9" t="str">
        <f t="shared" si="21"/>
        <v/>
      </c>
      <c r="F180" s="14"/>
      <c r="G180" s="14"/>
      <c r="H180" s="14"/>
      <c r="I180" s="14"/>
      <c r="J180" s="14"/>
      <c r="K180" s="10" t="str">
        <f>IF(COUNTA(B180:D180,F180:J180)=0,"",IF(OR(AND(F180&lt;&gt;"",ISERROR(VLOOKUP(VALUE(F180),料金表!$A$6:$B$8,2,FALSE()))),AND(G180&lt;&gt;"",ISERROR(VLOOKUP(VALUE(G180),料金表!$D$6:$E$8,2,FALSE()))),AND(H180&lt;&gt;"",ISERROR(VLOOKUP(H180,料金表!$G$6:$H$8,2,FALSE())))),"要確認",IF(F180="",0,VLOOKUP(VALUE(F180),料金表!$A$6:$B$8,2,FALSE()))+IF(G180="",0,VLOOKUP(VALUE(G180),料金表!$D$6:$E$8,2,FALSE()))+IF(H180="",0,VLOOKUP(H180,料金表!$G$6:$H$8,2,FALSE()))))</f>
        <v/>
      </c>
      <c r="L180" s="8" t="str">
        <f t="shared" si="22"/>
        <v/>
      </c>
      <c r="M180" s="1" t="str">
        <f t="shared" si="23"/>
        <v/>
      </c>
    </row>
    <row r="181" spans="1:13" ht="27" customHeight="1">
      <c r="A181" s="8" t="str">
        <f t="shared" si="20"/>
        <v/>
      </c>
      <c r="B181" s="13"/>
      <c r="C181" s="13"/>
      <c r="D181" s="13"/>
      <c r="E181" s="9" t="str">
        <f t="shared" si="21"/>
        <v/>
      </c>
      <c r="F181" s="14"/>
      <c r="G181" s="14"/>
      <c r="H181" s="14"/>
      <c r="I181" s="14"/>
      <c r="J181" s="14"/>
      <c r="K181" s="10" t="str">
        <f>IF(COUNTA(B181:D181,F181:J181)=0,"",IF(OR(AND(F181&lt;&gt;"",ISERROR(VLOOKUP(VALUE(F181),料金表!$A$6:$B$8,2,FALSE()))),AND(G181&lt;&gt;"",ISERROR(VLOOKUP(VALUE(G181),料金表!$D$6:$E$8,2,FALSE()))),AND(H181&lt;&gt;"",ISERROR(VLOOKUP(H181,料金表!$G$6:$H$8,2,FALSE())))),"要確認",IF(F181="",0,VLOOKUP(VALUE(F181),料金表!$A$6:$B$8,2,FALSE()))+IF(G181="",0,VLOOKUP(VALUE(G181),料金表!$D$6:$E$8,2,FALSE()))+IF(H181="",0,VLOOKUP(H181,料金表!$G$6:$H$8,2,FALSE()))))</f>
        <v/>
      </c>
      <c r="L181" s="8" t="str">
        <f t="shared" si="22"/>
        <v/>
      </c>
      <c r="M181" s="1" t="str">
        <f t="shared" si="23"/>
        <v/>
      </c>
    </row>
    <row r="182" spans="1:13" ht="27" customHeight="1">
      <c r="A182" s="8" t="str">
        <f t="shared" si="20"/>
        <v/>
      </c>
      <c r="B182" s="13"/>
      <c r="C182" s="13"/>
      <c r="D182" s="13"/>
      <c r="E182" s="9" t="str">
        <f t="shared" si="21"/>
        <v/>
      </c>
      <c r="F182" s="14"/>
      <c r="G182" s="14"/>
      <c r="H182" s="14"/>
      <c r="I182" s="14"/>
      <c r="J182" s="14"/>
      <c r="K182" s="10" t="str">
        <f>IF(COUNTA(B182:D182,F182:J182)=0,"",IF(OR(AND(F182&lt;&gt;"",ISERROR(VLOOKUP(VALUE(F182),料金表!$A$6:$B$8,2,FALSE()))),AND(G182&lt;&gt;"",ISERROR(VLOOKUP(VALUE(G182),料金表!$D$6:$E$8,2,FALSE()))),AND(H182&lt;&gt;"",ISERROR(VLOOKUP(H182,料金表!$G$6:$H$8,2,FALSE())))),"要確認",IF(F182="",0,VLOOKUP(VALUE(F182),料金表!$A$6:$B$8,2,FALSE()))+IF(G182="",0,VLOOKUP(VALUE(G182),料金表!$D$6:$E$8,2,FALSE()))+IF(H182="",0,VLOOKUP(H182,料金表!$G$6:$H$8,2,FALSE()))))</f>
        <v/>
      </c>
      <c r="L182" s="8" t="str">
        <f t="shared" si="22"/>
        <v/>
      </c>
      <c r="M182" s="1" t="str">
        <f t="shared" si="23"/>
        <v/>
      </c>
    </row>
    <row r="183" spans="1:13" ht="27" customHeight="1">
      <c r="A183" s="8" t="str">
        <f t="shared" si="20"/>
        <v/>
      </c>
      <c r="B183" s="13"/>
      <c r="C183" s="13"/>
      <c r="D183" s="13"/>
      <c r="E183" s="9" t="str">
        <f t="shared" si="21"/>
        <v/>
      </c>
      <c r="F183" s="14"/>
      <c r="G183" s="14"/>
      <c r="H183" s="14"/>
      <c r="I183" s="14"/>
      <c r="J183" s="14"/>
      <c r="K183" s="10" t="str">
        <f>IF(COUNTA(B183:D183,F183:J183)=0,"",IF(OR(AND(F183&lt;&gt;"",ISERROR(VLOOKUP(VALUE(F183),料金表!$A$6:$B$8,2,FALSE()))),AND(G183&lt;&gt;"",ISERROR(VLOOKUP(VALUE(G183),料金表!$D$6:$E$8,2,FALSE()))),AND(H183&lt;&gt;"",ISERROR(VLOOKUP(H183,料金表!$G$6:$H$8,2,FALSE())))),"要確認",IF(F183="",0,VLOOKUP(VALUE(F183),料金表!$A$6:$B$8,2,FALSE()))+IF(G183="",0,VLOOKUP(VALUE(G183),料金表!$D$6:$E$8,2,FALSE()))+IF(H183="",0,VLOOKUP(H183,料金表!$G$6:$H$8,2,FALSE()))))</f>
        <v/>
      </c>
      <c r="L183" s="8" t="str">
        <f t="shared" si="22"/>
        <v/>
      </c>
      <c r="M183" s="1" t="str">
        <f t="shared" si="23"/>
        <v/>
      </c>
    </row>
    <row r="184" spans="1:13" ht="27" customHeight="1">
      <c r="A184" s="8" t="str">
        <f t="shared" si="20"/>
        <v/>
      </c>
      <c r="B184" s="13"/>
      <c r="C184" s="13"/>
      <c r="D184" s="13"/>
      <c r="E184" s="9" t="str">
        <f t="shared" si="21"/>
        <v/>
      </c>
      <c r="F184" s="14"/>
      <c r="G184" s="14"/>
      <c r="H184" s="14"/>
      <c r="I184" s="14"/>
      <c r="J184" s="14"/>
      <c r="K184" s="10" t="str">
        <f>IF(COUNTA(B184:D184,F184:J184)=0,"",IF(OR(AND(F184&lt;&gt;"",ISERROR(VLOOKUP(VALUE(F184),料金表!$A$6:$B$8,2,FALSE()))),AND(G184&lt;&gt;"",ISERROR(VLOOKUP(VALUE(G184),料金表!$D$6:$E$8,2,FALSE()))),AND(H184&lt;&gt;"",ISERROR(VLOOKUP(H184,料金表!$G$6:$H$8,2,FALSE())))),"要確認",IF(F184="",0,VLOOKUP(VALUE(F184),料金表!$A$6:$B$8,2,FALSE()))+IF(G184="",0,VLOOKUP(VALUE(G184),料金表!$D$6:$E$8,2,FALSE()))+IF(H184="",0,VLOOKUP(H184,料金表!$G$6:$H$8,2,FALSE()))))</f>
        <v/>
      </c>
      <c r="L184" s="8" t="str">
        <f t="shared" si="22"/>
        <v/>
      </c>
      <c r="M184" s="1" t="str">
        <f t="shared" si="23"/>
        <v/>
      </c>
    </row>
    <row r="185" spans="1:13" ht="27" customHeight="1">
      <c r="A185" s="8" t="str">
        <f t="shared" si="20"/>
        <v/>
      </c>
      <c r="B185" s="13"/>
      <c r="C185" s="13"/>
      <c r="D185" s="13"/>
      <c r="E185" s="9" t="str">
        <f t="shared" si="21"/>
        <v/>
      </c>
      <c r="F185" s="14"/>
      <c r="G185" s="14"/>
      <c r="H185" s="14"/>
      <c r="I185" s="14"/>
      <c r="J185" s="14"/>
      <c r="K185" s="10" t="str">
        <f>IF(COUNTA(B185:D185,F185:J185)=0,"",IF(OR(AND(F185&lt;&gt;"",ISERROR(VLOOKUP(VALUE(F185),料金表!$A$6:$B$8,2,FALSE()))),AND(G185&lt;&gt;"",ISERROR(VLOOKUP(VALUE(G185),料金表!$D$6:$E$8,2,FALSE()))),AND(H185&lt;&gt;"",ISERROR(VLOOKUP(H185,料金表!$G$6:$H$8,2,FALSE())))),"要確認",IF(F185="",0,VLOOKUP(VALUE(F185),料金表!$A$6:$B$8,2,FALSE()))+IF(G185="",0,VLOOKUP(VALUE(G185),料金表!$D$6:$E$8,2,FALSE()))+IF(H185="",0,VLOOKUP(H185,料金表!$G$6:$H$8,2,FALSE()))))</f>
        <v/>
      </c>
      <c r="L185" s="8" t="str">
        <f t="shared" si="22"/>
        <v/>
      </c>
      <c r="M185" s="1" t="str">
        <f t="shared" si="23"/>
        <v/>
      </c>
    </row>
    <row r="186" spans="1:13" ht="27" customHeight="1">
      <c r="A186" s="8" t="str">
        <f t="shared" si="20"/>
        <v/>
      </c>
      <c r="B186" s="13"/>
      <c r="C186" s="13"/>
      <c r="D186" s="13"/>
      <c r="E186" s="9" t="str">
        <f t="shared" si="21"/>
        <v/>
      </c>
      <c r="F186" s="14"/>
      <c r="G186" s="14"/>
      <c r="H186" s="14"/>
      <c r="I186" s="14"/>
      <c r="J186" s="14"/>
      <c r="K186" s="10" t="str">
        <f>IF(COUNTA(B186:D186,F186:J186)=0,"",IF(OR(AND(F186&lt;&gt;"",ISERROR(VLOOKUP(VALUE(F186),料金表!$A$6:$B$8,2,FALSE()))),AND(G186&lt;&gt;"",ISERROR(VLOOKUP(VALUE(G186),料金表!$D$6:$E$8,2,FALSE()))),AND(H186&lt;&gt;"",ISERROR(VLOOKUP(H186,料金表!$G$6:$H$8,2,FALSE())))),"要確認",IF(F186="",0,VLOOKUP(VALUE(F186),料金表!$A$6:$B$8,2,FALSE()))+IF(G186="",0,VLOOKUP(VALUE(G186),料金表!$D$6:$E$8,2,FALSE()))+IF(H186="",0,VLOOKUP(H186,料金表!$G$6:$H$8,2,FALSE()))))</f>
        <v/>
      </c>
      <c r="L186" s="8" t="str">
        <f t="shared" si="22"/>
        <v/>
      </c>
      <c r="M186" s="1" t="str">
        <f t="shared" si="23"/>
        <v/>
      </c>
    </row>
    <row r="187" spans="1:13" ht="27" customHeight="1">
      <c r="A187" s="8" t="str">
        <f t="shared" si="20"/>
        <v/>
      </c>
      <c r="B187" s="13"/>
      <c r="C187" s="13"/>
      <c r="D187" s="13"/>
      <c r="E187" s="9" t="str">
        <f t="shared" si="21"/>
        <v/>
      </c>
      <c r="F187" s="14"/>
      <c r="G187" s="14"/>
      <c r="H187" s="14"/>
      <c r="I187" s="14"/>
      <c r="J187" s="14"/>
      <c r="K187" s="10" t="str">
        <f>IF(COUNTA(B187:D187,F187:J187)=0,"",IF(OR(AND(F187&lt;&gt;"",ISERROR(VLOOKUP(VALUE(F187),料金表!$A$6:$B$8,2,FALSE()))),AND(G187&lt;&gt;"",ISERROR(VLOOKUP(VALUE(G187),料金表!$D$6:$E$8,2,FALSE()))),AND(H187&lt;&gt;"",ISERROR(VLOOKUP(H187,料金表!$G$6:$H$8,2,FALSE())))),"要確認",IF(F187="",0,VLOOKUP(VALUE(F187),料金表!$A$6:$B$8,2,FALSE()))+IF(G187="",0,VLOOKUP(VALUE(G187),料金表!$D$6:$E$8,2,FALSE()))+IF(H187="",0,VLOOKUP(H187,料金表!$G$6:$H$8,2,FALSE()))))</f>
        <v/>
      </c>
      <c r="L187" s="8" t="str">
        <f t="shared" si="22"/>
        <v/>
      </c>
      <c r="M187" s="1" t="str">
        <f t="shared" si="23"/>
        <v/>
      </c>
    </row>
    <row r="188" spans="1:13" ht="27" customHeight="1">
      <c r="A188" s="8" t="str">
        <f t="shared" si="20"/>
        <v/>
      </c>
      <c r="B188" s="13"/>
      <c r="C188" s="13"/>
      <c r="D188" s="13"/>
      <c r="E188" s="9" t="str">
        <f t="shared" si="21"/>
        <v/>
      </c>
      <c r="F188" s="14"/>
      <c r="G188" s="14"/>
      <c r="H188" s="14"/>
      <c r="I188" s="14"/>
      <c r="J188" s="14"/>
      <c r="K188" s="10" t="str">
        <f>IF(COUNTA(B188:D188,F188:J188)=0,"",IF(OR(AND(F188&lt;&gt;"",ISERROR(VLOOKUP(VALUE(F188),料金表!$A$6:$B$8,2,FALSE()))),AND(G188&lt;&gt;"",ISERROR(VLOOKUP(VALUE(G188),料金表!$D$6:$E$8,2,FALSE()))),AND(H188&lt;&gt;"",ISERROR(VLOOKUP(H188,料金表!$G$6:$H$8,2,FALSE())))),"要確認",IF(F188="",0,VLOOKUP(VALUE(F188),料金表!$A$6:$B$8,2,FALSE()))+IF(G188="",0,VLOOKUP(VALUE(G188),料金表!$D$6:$E$8,2,FALSE()))+IF(H188="",0,VLOOKUP(H188,料金表!$G$6:$H$8,2,FALSE()))))</f>
        <v/>
      </c>
      <c r="L188" s="8" t="str">
        <f t="shared" si="22"/>
        <v/>
      </c>
      <c r="M188" s="1" t="str">
        <f t="shared" si="23"/>
        <v/>
      </c>
    </row>
    <row r="189" spans="1:13" ht="27" customHeight="1">
      <c r="A189" s="8" t="str">
        <f t="shared" si="20"/>
        <v/>
      </c>
      <c r="B189" s="13"/>
      <c r="C189" s="13"/>
      <c r="D189" s="13"/>
      <c r="E189" s="9" t="str">
        <f t="shared" si="21"/>
        <v/>
      </c>
      <c r="F189" s="14"/>
      <c r="G189" s="14"/>
      <c r="H189" s="14"/>
      <c r="I189" s="14"/>
      <c r="J189" s="14"/>
      <c r="K189" s="10" t="str">
        <f>IF(COUNTA(B189:D189,F189:J189)=0,"",IF(OR(AND(F189&lt;&gt;"",ISERROR(VLOOKUP(VALUE(F189),料金表!$A$6:$B$8,2,FALSE()))),AND(G189&lt;&gt;"",ISERROR(VLOOKUP(VALUE(G189),料金表!$D$6:$E$8,2,FALSE()))),AND(H189&lt;&gt;"",ISERROR(VLOOKUP(H189,料金表!$G$6:$H$8,2,FALSE())))),"要確認",IF(F189="",0,VLOOKUP(VALUE(F189),料金表!$A$6:$B$8,2,FALSE()))+IF(G189="",0,VLOOKUP(VALUE(G189),料金表!$D$6:$E$8,2,FALSE()))+IF(H189="",0,VLOOKUP(H189,料金表!$G$6:$H$8,2,FALSE()))))</f>
        <v/>
      </c>
      <c r="L189" s="8" t="str">
        <f t="shared" si="22"/>
        <v/>
      </c>
      <c r="M189" s="1" t="str">
        <f t="shared" si="23"/>
        <v/>
      </c>
    </row>
    <row r="190" spans="1:13" ht="27" customHeight="1">
      <c r="A190" s="8" t="str">
        <f t="shared" si="20"/>
        <v/>
      </c>
      <c r="B190" s="13"/>
      <c r="C190" s="13"/>
      <c r="D190" s="13"/>
      <c r="E190" s="9" t="str">
        <f t="shared" si="21"/>
        <v/>
      </c>
      <c r="F190" s="14"/>
      <c r="G190" s="14"/>
      <c r="H190" s="14"/>
      <c r="I190" s="14"/>
      <c r="J190" s="14"/>
      <c r="K190" s="10" t="str">
        <f>IF(COUNTA(B190:D190,F190:J190)=0,"",IF(OR(AND(F190&lt;&gt;"",ISERROR(VLOOKUP(VALUE(F190),料金表!$A$6:$B$8,2,FALSE()))),AND(G190&lt;&gt;"",ISERROR(VLOOKUP(VALUE(G190),料金表!$D$6:$E$8,2,FALSE()))),AND(H190&lt;&gt;"",ISERROR(VLOOKUP(H190,料金表!$G$6:$H$8,2,FALSE())))),"要確認",IF(F190="",0,VLOOKUP(VALUE(F190),料金表!$A$6:$B$8,2,FALSE()))+IF(G190="",0,VLOOKUP(VALUE(G190),料金表!$D$6:$E$8,2,FALSE()))+IF(H190="",0,VLOOKUP(H190,料金表!$G$6:$H$8,2,FALSE()))))</f>
        <v/>
      </c>
      <c r="L190" s="8" t="str">
        <f t="shared" si="22"/>
        <v/>
      </c>
      <c r="M190" s="1" t="str">
        <f t="shared" si="23"/>
        <v/>
      </c>
    </row>
    <row r="191" spans="1:13" ht="27" customHeight="1">
      <c r="A191" s="8" t="str">
        <f t="shared" si="20"/>
        <v/>
      </c>
      <c r="B191" s="13"/>
      <c r="C191" s="13"/>
      <c r="D191" s="13"/>
      <c r="E191" s="9" t="str">
        <f t="shared" si="21"/>
        <v/>
      </c>
      <c r="F191" s="14"/>
      <c r="G191" s="14"/>
      <c r="H191" s="14"/>
      <c r="I191" s="14"/>
      <c r="J191" s="14"/>
      <c r="K191" s="10" t="str">
        <f>IF(COUNTA(B191:D191,F191:J191)=0,"",IF(OR(AND(F191&lt;&gt;"",ISERROR(VLOOKUP(VALUE(F191),料金表!$A$6:$B$8,2,FALSE()))),AND(G191&lt;&gt;"",ISERROR(VLOOKUP(VALUE(G191),料金表!$D$6:$E$8,2,FALSE()))),AND(H191&lt;&gt;"",ISERROR(VLOOKUP(H191,料金表!$G$6:$H$8,2,FALSE())))),"要確認",IF(F191="",0,VLOOKUP(VALUE(F191),料金表!$A$6:$B$8,2,FALSE()))+IF(G191="",0,VLOOKUP(VALUE(G191),料金表!$D$6:$E$8,2,FALSE()))+IF(H191="",0,VLOOKUP(H191,料金表!$G$6:$H$8,2,FALSE()))))</f>
        <v/>
      </c>
      <c r="L191" s="8" t="str">
        <f t="shared" si="22"/>
        <v/>
      </c>
      <c r="M191" s="1" t="str">
        <f t="shared" si="23"/>
        <v/>
      </c>
    </row>
    <row r="192" spans="1:13" ht="27" customHeight="1">
      <c r="A192" s="8" t="str">
        <f t="shared" si="20"/>
        <v/>
      </c>
      <c r="B192" s="13"/>
      <c r="C192" s="13"/>
      <c r="D192" s="13"/>
      <c r="E192" s="9" t="str">
        <f t="shared" si="21"/>
        <v/>
      </c>
      <c r="F192" s="14"/>
      <c r="G192" s="14"/>
      <c r="H192" s="14"/>
      <c r="I192" s="14"/>
      <c r="J192" s="14"/>
      <c r="K192" s="10" t="str">
        <f>IF(COUNTA(B192:D192,F192:J192)=0,"",IF(OR(AND(F192&lt;&gt;"",ISERROR(VLOOKUP(VALUE(F192),料金表!$A$6:$B$8,2,FALSE()))),AND(G192&lt;&gt;"",ISERROR(VLOOKUP(VALUE(G192),料金表!$D$6:$E$8,2,FALSE()))),AND(H192&lt;&gt;"",ISERROR(VLOOKUP(H192,料金表!$G$6:$H$8,2,FALSE())))),"要確認",IF(F192="",0,VLOOKUP(VALUE(F192),料金表!$A$6:$B$8,2,FALSE()))+IF(G192="",0,VLOOKUP(VALUE(G192),料金表!$D$6:$E$8,2,FALSE()))+IF(H192="",0,VLOOKUP(H192,料金表!$G$6:$H$8,2,FALSE()))))</f>
        <v/>
      </c>
      <c r="L192" s="8" t="str">
        <f t="shared" si="22"/>
        <v/>
      </c>
      <c r="M192" s="1" t="str">
        <f t="shared" si="23"/>
        <v/>
      </c>
    </row>
    <row r="193" spans="1:13" ht="27" customHeight="1">
      <c r="A193" s="8" t="str">
        <f t="shared" si="20"/>
        <v/>
      </c>
      <c r="B193" s="13"/>
      <c r="C193" s="13"/>
      <c r="D193" s="13"/>
      <c r="E193" s="9" t="str">
        <f t="shared" si="21"/>
        <v/>
      </c>
      <c r="F193" s="14"/>
      <c r="G193" s="14"/>
      <c r="H193" s="14"/>
      <c r="I193" s="14"/>
      <c r="J193" s="14"/>
      <c r="K193" s="10" t="str">
        <f>IF(COUNTA(B193:D193,F193:J193)=0,"",IF(OR(AND(F193&lt;&gt;"",ISERROR(VLOOKUP(VALUE(F193),料金表!$A$6:$B$8,2,FALSE()))),AND(G193&lt;&gt;"",ISERROR(VLOOKUP(VALUE(G193),料金表!$D$6:$E$8,2,FALSE()))),AND(H193&lt;&gt;"",ISERROR(VLOOKUP(H193,料金表!$G$6:$H$8,2,FALSE())))),"要確認",IF(F193="",0,VLOOKUP(VALUE(F193),料金表!$A$6:$B$8,2,FALSE()))+IF(G193="",0,VLOOKUP(VALUE(G193),料金表!$D$6:$E$8,2,FALSE()))+IF(H193="",0,VLOOKUP(H193,料金表!$G$6:$H$8,2,FALSE()))))</f>
        <v/>
      </c>
      <c r="L193" s="8" t="str">
        <f t="shared" si="22"/>
        <v/>
      </c>
      <c r="M193" s="1" t="str">
        <f t="shared" si="23"/>
        <v/>
      </c>
    </row>
    <row r="194" spans="1:13" ht="27" customHeight="1">
      <c r="A194" s="8" t="str">
        <f t="shared" si="20"/>
        <v/>
      </c>
      <c r="B194" s="13"/>
      <c r="C194" s="13"/>
      <c r="D194" s="13"/>
      <c r="E194" s="9" t="str">
        <f t="shared" si="21"/>
        <v/>
      </c>
      <c r="F194" s="14"/>
      <c r="G194" s="14"/>
      <c r="H194" s="14"/>
      <c r="I194" s="14"/>
      <c r="J194" s="14"/>
      <c r="K194" s="10" t="str">
        <f>IF(COUNTA(B194:D194,F194:J194)=0,"",IF(OR(AND(F194&lt;&gt;"",ISERROR(VLOOKUP(VALUE(F194),料金表!$A$6:$B$8,2,FALSE()))),AND(G194&lt;&gt;"",ISERROR(VLOOKUP(VALUE(G194),料金表!$D$6:$E$8,2,FALSE()))),AND(H194&lt;&gt;"",ISERROR(VLOOKUP(H194,料金表!$G$6:$H$8,2,FALSE())))),"要確認",IF(F194="",0,VLOOKUP(VALUE(F194),料金表!$A$6:$B$8,2,FALSE()))+IF(G194="",0,VLOOKUP(VALUE(G194),料金表!$D$6:$E$8,2,FALSE()))+IF(H194="",0,VLOOKUP(H194,料金表!$G$6:$H$8,2,FALSE()))))</f>
        <v/>
      </c>
      <c r="L194" s="8" t="str">
        <f t="shared" si="22"/>
        <v/>
      </c>
      <c r="M194" s="1" t="str">
        <f t="shared" si="23"/>
        <v/>
      </c>
    </row>
    <row r="195" spans="1:13" ht="27" customHeight="1">
      <c r="A195" s="8" t="str">
        <f t="shared" si="20"/>
        <v/>
      </c>
      <c r="B195" s="13"/>
      <c r="C195" s="13"/>
      <c r="D195" s="13"/>
      <c r="E195" s="9" t="str">
        <f t="shared" si="21"/>
        <v/>
      </c>
      <c r="F195" s="14"/>
      <c r="G195" s="14"/>
      <c r="H195" s="14"/>
      <c r="I195" s="14"/>
      <c r="J195" s="14"/>
      <c r="K195" s="10" t="str">
        <f>IF(COUNTA(B195:D195,F195:J195)=0,"",IF(OR(AND(F195&lt;&gt;"",ISERROR(VLOOKUP(VALUE(F195),料金表!$A$6:$B$8,2,FALSE()))),AND(G195&lt;&gt;"",ISERROR(VLOOKUP(VALUE(G195),料金表!$D$6:$E$8,2,FALSE()))),AND(H195&lt;&gt;"",ISERROR(VLOOKUP(H195,料金表!$G$6:$H$8,2,FALSE())))),"要確認",IF(F195="",0,VLOOKUP(VALUE(F195),料金表!$A$6:$B$8,2,FALSE()))+IF(G195="",0,VLOOKUP(VALUE(G195),料金表!$D$6:$E$8,2,FALSE()))+IF(H195="",0,VLOOKUP(H195,料金表!$G$6:$H$8,2,FALSE()))))</f>
        <v/>
      </c>
      <c r="L195" s="8" t="str">
        <f t="shared" si="22"/>
        <v/>
      </c>
      <c r="M195" s="1" t="str">
        <f t="shared" si="23"/>
        <v/>
      </c>
    </row>
    <row r="196" spans="1:13" ht="27" customHeight="1">
      <c r="A196" s="8" t="str">
        <f t="shared" si="20"/>
        <v/>
      </c>
      <c r="B196" s="13"/>
      <c r="C196" s="13"/>
      <c r="D196" s="13"/>
      <c r="E196" s="9" t="str">
        <f t="shared" si="21"/>
        <v/>
      </c>
      <c r="F196" s="14"/>
      <c r="G196" s="14"/>
      <c r="H196" s="14"/>
      <c r="I196" s="14"/>
      <c r="J196" s="14"/>
      <c r="K196" s="10" t="str">
        <f>IF(COUNTA(B196:D196,F196:J196)=0,"",IF(OR(AND(F196&lt;&gt;"",ISERROR(VLOOKUP(VALUE(F196),料金表!$A$6:$B$8,2,FALSE()))),AND(G196&lt;&gt;"",ISERROR(VLOOKUP(VALUE(G196),料金表!$D$6:$E$8,2,FALSE()))),AND(H196&lt;&gt;"",ISERROR(VLOOKUP(H196,料金表!$G$6:$H$8,2,FALSE())))),"要確認",IF(F196="",0,VLOOKUP(VALUE(F196),料金表!$A$6:$B$8,2,FALSE()))+IF(G196="",0,VLOOKUP(VALUE(G196),料金表!$D$6:$E$8,2,FALSE()))+IF(H196="",0,VLOOKUP(H196,料金表!$G$6:$H$8,2,FALSE()))))</f>
        <v/>
      </c>
      <c r="L196" s="8" t="str">
        <f t="shared" si="22"/>
        <v/>
      </c>
      <c r="M196" s="1" t="str">
        <f t="shared" si="23"/>
        <v/>
      </c>
    </row>
    <row r="197" spans="1:13" ht="27" customHeight="1">
      <c r="A197" s="8" t="str">
        <f t="shared" si="20"/>
        <v/>
      </c>
      <c r="B197" s="13"/>
      <c r="C197" s="13"/>
      <c r="D197" s="13"/>
      <c r="E197" s="9" t="str">
        <f t="shared" si="21"/>
        <v/>
      </c>
      <c r="F197" s="14"/>
      <c r="G197" s="14"/>
      <c r="H197" s="14"/>
      <c r="I197" s="14"/>
      <c r="J197" s="14"/>
      <c r="K197" s="10" t="str">
        <f>IF(COUNTA(B197:D197,F197:J197)=0,"",IF(OR(AND(F197&lt;&gt;"",ISERROR(VLOOKUP(VALUE(F197),料金表!$A$6:$B$8,2,FALSE()))),AND(G197&lt;&gt;"",ISERROR(VLOOKUP(VALUE(G197),料金表!$D$6:$E$8,2,FALSE()))),AND(H197&lt;&gt;"",ISERROR(VLOOKUP(H197,料金表!$G$6:$H$8,2,FALSE())))),"要確認",IF(F197="",0,VLOOKUP(VALUE(F197),料金表!$A$6:$B$8,2,FALSE()))+IF(G197="",0,VLOOKUP(VALUE(G197),料金表!$D$6:$E$8,2,FALSE()))+IF(H197="",0,VLOOKUP(H197,料金表!$G$6:$H$8,2,FALSE()))))</f>
        <v/>
      </c>
      <c r="L197" s="8" t="str">
        <f t="shared" si="22"/>
        <v/>
      </c>
      <c r="M197" s="1" t="str">
        <f t="shared" si="23"/>
        <v/>
      </c>
    </row>
    <row r="198" spans="1:13" ht="27" customHeight="1">
      <c r="A198" s="8" t="str">
        <f t="shared" si="20"/>
        <v/>
      </c>
      <c r="B198" s="13"/>
      <c r="C198" s="13"/>
      <c r="D198" s="13"/>
      <c r="E198" s="9" t="str">
        <f t="shared" si="21"/>
        <v/>
      </c>
      <c r="F198" s="14"/>
      <c r="G198" s="14"/>
      <c r="H198" s="14"/>
      <c r="I198" s="14"/>
      <c r="J198" s="14"/>
      <c r="K198" s="10" t="str">
        <f>IF(COUNTA(B198:D198,F198:J198)=0,"",IF(OR(AND(F198&lt;&gt;"",ISERROR(VLOOKUP(VALUE(F198),料金表!$A$6:$B$8,2,FALSE()))),AND(G198&lt;&gt;"",ISERROR(VLOOKUP(VALUE(G198),料金表!$D$6:$E$8,2,FALSE()))),AND(H198&lt;&gt;"",ISERROR(VLOOKUP(H198,料金表!$G$6:$H$8,2,FALSE())))),"要確認",IF(F198="",0,VLOOKUP(VALUE(F198),料金表!$A$6:$B$8,2,FALSE()))+IF(G198="",0,VLOOKUP(VALUE(G198),料金表!$D$6:$E$8,2,FALSE()))+IF(H198="",0,VLOOKUP(H198,料金表!$G$6:$H$8,2,FALSE()))))</f>
        <v/>
      </c>
      <c r="L198" s="8" t="str">
        <f t="shared" si="22"/>
        <v/>
      </c>
      <c r="M198" s="1" t="str">
        <f t="shared" si="23"/>
        <v/>
      </c>
    </row>
    <row r="199" spans="1:13" ht="27" customHeight="1">
      <c r="A199" s="8" t="str">
        <f t="shared" si="20"/>
        <v/>
      </c>
      <c r="B199" s="13"/>
      <c r="C199" s="13"/>
      <c r="D199" s="13"/>
      <c r="E199" s="9" t="str">
        <f t="shared" si="21"/>
        <v/>
      </c>
      <c r="F199" s="14"/>
      <c r="G199" s="14"/>
      <c r="H199" s="14"/>
      <c r="I199" s="14"/>
      <c r="J199" s="14"/>
      <c r="K199" s="10" t="str">
        <f>IF(COUNTA(B199:D199,F199:J199)=0,"",IF(OR(AND(F199&lt;&gt;"",ISERROR(VLOOKUP(VALUE(F199),料金表!$A$6:$B$8,2,FALSE()))),AND(G199&lt;&gt;"",ISERROR(VLOOKUP(VALUE(G199),料金表!$D$6:$E$8,2,FALSE()))),AND(H199&lt;&gt;"",ISERROR(VLOOKUP(H199,料金表!$G$6:$H$8,2,FALSE())))),"要確認",IF(F199="",0,VLOOKUP(VALUE(F199),料金表!$A$6:$B$8,2,FALSE()))+IF(G199="",0,VLOOKUP(VALUE(G199),料金表!$D$6:$E$8,2,FALSE()))+IF(H199="",0,VLOOKUP(H199,料金表!$G$6:$H$8,2,FALSE()))))</f>
        <v/>
      </c>
      <c r="L199" s="8" t="str">
        <f t="shared" si="22"/>
        <v/>
      </c>
      <c r="M199" s="1" t="str">
        <f t="shared" si="23"/>
        <v/>
      </c>
    </row>
    <row r="200" spans="1:13" ht="27" customHeight="1">
      <c r="A200" s="8" t="str">
        <f t="shared" si="20"/>
        <v/>
      </c>
      <c r="B200" s="13"/>
      <c r="C200" s="13"/>
      <c r="D200" s="13"/>
      <c r="E200" s="9" t="str">
        <f t="shared" si="21"/>
        <v/>
      </c>
      <c r="F200" s="14"/>
      <c r="G200" s="14"/>
      <c r="H200" s="14"/>
      <c r="I200" s="14"/>
      <c r="J200" s="14"/>
      <c r="K200" s="10" t="str">
        <f>IF(COUNTA(B200:D200,F200:J200)=0,"",IF(OR(AND(F200&lt;&gt;"",ISERROR(VLOOKUP(VALUE(F200),料金表!$A$6:$B$8,2,FALSE()))),AND(G200&lt;&gt;"",ISERROR(VLOOKUP(VALUE(G200),料金表!$D$6:$E$8,2,FALSE()))),AND(H200&lt;&gt;"",ISERROR(VLOOKUP(H200,料金表!$G$6:$H$8,2,FALSE())))),"要確認",IF(F200="",0,VLOOKUP(VALUE(F200),料金表!$A$6:$B$8,2,FALSE()))+IF(G200="",0,VLOOKUP(VALUE(G200),料金表!$D$6:$E$8,2,FALSE()))+IF(H200="",0,VLOOKUP(H200,料金表!$G$6:$H$8,2,FALSE()))))</f>
        <v/>
      </c>
      <c r="L200" s="8" t="str">
        <f t="shared" si="22"/>
        <v/>
      </c>
      <c r="M200" s="1" t="str">
        <f t="shared" si="23"/>
        <v/>
      </c>
    </row>
    <row r="201" spans="1:13" ht="27" customHeight="1">
      <c r="A201" s="8" t="str">
        <f t="shared" si="20"/>
        <v/>
      </c>
      <c r="B201" s="13"/>
      <c r="C201" s="13"/>
      <c r="D201" s="13"/>
      <c r="E201" s="9" t="str">
        <f t="shared" si="21"/>
        <v/>
      </c>
      <c r="F201" s="14"/>
      <c r="G201" s="14"/>
      <c r="H201" s="14"/>
      <c r="I201" s="14"/>
      <c r="J201" s="14"/>
      <c r="K201" s="10" t="str">
        <f>IF(COUNTA(B201:D201,F201:J201)=0,"",IF(OR(AND(F201&lt;&gt;"",ISERROR(VLOOKUP(VALUE(F201),料金表!$A$6:$B$8,2,FALSE()))),AND(G201&lt;&gt;"",ISERROR(VLOOKUP(VALUE(G201),料金表!$D$6:$E$8,2,FALSE()))),AND(H201&lt;&gt;"",ISERROR(VLOOKUP(H201,料金表!$G$6:$H$8,2,FALSE())))),"要確認",IF(F201="",0,VLOOKUP(VALUE(F201),料金表!$A$6:$B$8,2,FALSE()))+IF(G201="",0,VLOOKUP(VALUE(G201),料金表!$D$6:$E$8,2,FALSE()))+IF(H201="",0,VLOOKUP(H201,料金表!$G$6:$H$8,2,FALSE()))))</f>
        <v/>
      </c>
      <c r="L201" s="8" t="str">
        <f t="shared" si="22"/>
        <v/>
      </c>
      <c r="M201" s="1" t="str">
        <f t="shared" si="23"/>
        <v/>
      </c>
    </row>
    <row r="202" spans="1:13" ht="27" customHeight="1">
      <c r="A202" s="8" t="str">
        <f t="shared" si="20"/>
        <v/>
      </c>
      <c r="B202" s="13"/>
      <c r="C202" s="13"/>
      <c r="D202" s="13"/>
      <c r="E202" s="9" t="str">
        <f t="shared" si="21"/>
        <v/>
      </c>
      <c r="F202" s="14"/>
      <c r="G202" s="14"/>
      <c r="H202" s="14"/>
      <c r="I202" s="14"/>
      <c r="J202" s="14"/>
      <c r="K202" s="10" t="str">
        <f>IF(COUNTA(B202:D202,F202:J202)=0,"",IF(OR(AND(F202&lt;&gt;"",ISERROR(VLOOKUP(VALUE(F202),料金表!$A$6:$B$8,2,FALSE()))),AND(G202&lt;&gt;"",ISERROR(VLOOKUP(VALUE(G202),料金表!$D$6:$E$8,2,FALSE()))),AND(H202&lt;&gt;"",ISERROR(VLOOKUP(H202,料金表!$G$6:$H$8,2,FALSE())))),"要確認",IF(F202="",0,VLOOKUP(VALUE(F202),料金表!$A$6:$B$8,2,FALSE()))+IF(G202="",0,VLOOKUP(VALUE(G202),料金表!$D$6:$E$8,2,FALSE()))+IF(H202="",0,VLOOKUP(H202,料金表!$G$6:$H$8,2,FALSE()))))</f>
        <v/>
      </c>
      <c r="L202" s="8" t="str">
        <f t="shared" si="22"/>
        <v/>
      </c>
      <c r="M202" s="1" t="str">
        <f t="shared" si="23"/>
        <v/>
      </c>
    </row>
    <row r="203" spans="1:13" ht="27" customHeight="1">
      <c r="A203" s="8" t="str">
        <f t="shared" si="20"/>
        <v/>
      </c>
      <c r="B203" s="13"/>
      <c r="C203" s="13"/>
      <c r="D203" s="13"/>
      <c r="E203" s="9" t="str">
        <f t="shared" si="21"/>
        <v/>
      </c>
      <c r="F203" s="14"/>
      <c r="G203" s="14"/>
      <c r="H203" s="14"/>
      <c r="I203" s="14"/>
      <c r="J203" s="14"/>
      <c r="K203" s="10" t="str">
        <f>IF(COUNTA(B203:D203,F203:J203)=0,"",IF(OR(AND(F203&lt;&gt;"",ISERROR(VLOOKUP(VALUE(F203),料金表!$A$6:$B$8,2,FALSE()))),AND(G203&lt;&gt;"",ISERROR(VLOOKUP(VALUE(G203),料金表!$D$6:$E$8,2,FALSE()))),AND(H203&lt;&gt;"",ISERROR(VLOOKUP(H203,料金表!$G$6:$H$8,2,FALSE())))),"要確認",IF(F203="",0,VLOOKUP(VALUE(F203),料金表!$A$6:$B$8,2,FALSE()))+IF(G203="",0,VLOOKUP(VALUE(G203),料金表!$D$6:$E$8,2,FALSE()))+IF(H203="",0,VLOOKUP(H203,料金表!$G$6:$H$8,2,FALSE()))))</f>
        <v/>
      </c>
      <c r="L203" s="8" t="str">
        <f t="shared" si="22"/>
        <v/>
      </c>
      <c r="M203" s="1" t="str">
        <f t="shared" si="23"/>
        <v/>
      </c>
    </row>
    <row r="204" spans="1:13" ht="27" customHeight="1">
      <c r="A204" s="8" t="str">
        <f t="shared" si="20"/>
        <v/>
      </c>
      <c r="B204" s="13"/>
      <c r="C204" s="13"/>
      <c r="D204" s="13"/>
      <c r="E204" s="9" t="str">
        <f t="shared" si="21"/>
        <v/>
      </c>
      <c r="F204" s="14"/>
      <c r="G204" s="14"/>
      <c r="H204" s="14"/>
      <c r="I204" s="14"/>
      <c r="J204" s="14"/>
      <c r="K204" s="10" t="str">
        <f>IF(COUNTA(B204:D204,F204:J204)=0,"",IF(OR(AND(F204&lt;&gt;"",ISERROR(VLOOKUP(VALUE(F204),料金表!$A$6:$B$8,2,FALSE()))),AND(G204&lt;&gt;"",ISERROR(VLOOKUP(VALUE(G204),料金表!$D$6:$E$8,2,FALSE()))),AND(H204&lt;&gt;"",ISERROR(VLOOKUP(H204,料金表!$G$6:$H$8,2,FALSE())))),"要確認",IF(F204="",0,VLOOKUP(VALUE(F204),料金表!$A$6:$B$8,2,FALSE()))+IF(G204="",0,VLOOKUP(VALUE(G204),料金表!$D$6:$E$8,2,FALSE()))+IF(H204="",0,VLOOKUP(H204,料金表!$G$6:$H$8,2,FALSE()))))</f>
        <v/>
      </c>
      <c r="L204" s="8" t="str">
        <f t="shared" si="22"/>
        <v/>
      </c>
      <c r="M204" s="1" t="str">
        <f t="shared" si="23"/>
        <v/>
      </c>
    </row>
    <row r="205" spans="1:13" ht="27" customHeight="1">
      <c r="A205" s="8" t="str">
        <f t="shared" ref="A205:A212" si="24">IF(COUNTA(B205:D205,F205:J205)=0,"",ROW()-12)</f>
        <v/>
      </c>
      <c r="B205" s="13"/>
      <c r="C205" s="13"/>
      <c r="D205" s="13"/>
      <c r="E205" s="9" t="str">
        <f t="shared" ref="E205:E212" si="25">IF(COUNTA(B205:D205,F205:J205)=0,"",IF(COUNTA($C$4)=0,"",$C$4))</f>
        <v/>
      </c>
      <c r="F205" s="14"/>
      <c r="G205" s="14"/>
      <c r="H205" s="14"/>
      <c r="I205" s="14"/>
      <c r="J205" s="14"/>
      <c r="K205" s="10" t="str">
        <f>IF(COUNTA(B205:D205,F205:J205)=0,"",IF(OR(AND(F205&lt;&gt;"",ISERROR(VLOOKUP(VALUE(F205),料金表!$A$6:$B$8,2,FALSE()))),AND(G205&lt;&gt;"",ISERROR(VLOOKUP(VALUE(G205),料金表!$D$6:$E$8,2,FALSE()))),AND(H205&lt;&gt;"",ISERROR(VLOOKUP(H205,料金表!$G$6:$H$8,2,FALSE())))),"要確認",IF(F205="",0,VLOOKUP(VALUE(F205),料金表!$A$6:$B$8,2,FALSE()))+IF(G205="",0,VLOOKUP(VALUE(G205),料金表!$D$6:$E$8,2,FALSE()))+IF(H205="",0,VLOOKUP(H205,料金表!$G$6:$H$8,2,FALSE()))))</f>
        <v/>
      </c>
      <c r="L205" s="8" t="str">
        <f t="shared" ref="L205:L212" si="26">IF(COUNTA(B205:D205,F205:J205)=0,"",IF(OR(B205="",C205="",D205=""),"要確認：氏名・カナ・生年月日",IF(NOT(AND(ISTEXT(B205),LEN(B205)-LEN(SUBSTITUTE(B205," ",""))=1,LEFT(B205,1)&lt;&gt;" ",RIGHT(B205,1)&lt;&gt;" ",ISERROR(SEARCH("　",B205)))),"要確認：姓と名に半角スペース",IF(NOT(IFERROR(AND(ISTEXT(D205),LEN(D205)&gt;=8,LEN(D205)&lt;=10,MID(D205,5,1)="/",LEN(D205)-LEN(SUBSTITUTE(D205,"/",""))=2,FIND("/",D205,6)&gt;=7,FIND("/",D205,6)&lt;=8,LEN(D205)-FIND("/",D205,6)&gt;=1,LEN(D205)-FIND("/",D205,6)&lt;=2,YEAR(DATE(VALUE(LEFT(D205,4)),VALUE(MID(D205,6,FIND("/",D205,6)-6)),VALUE(MID(D205,FIND("/",D205,6)+1,2))))=VALUE(LEFT(D205,4)),MONTH(DATE(VALUE(LEFT(D205,4)),VALUE(MID(D205,6,FIND("/",D205,6)-6)),VALUE(MID(D205,FIND("/",D205,6)+1,2))))=VALUE(MID(D205,6,FIND("/",D205,6)-6)),DAY(DATE(VALUE(LEFT(D205,4)),VALUE(MID(D205,6,FIND("/",D205,6)-6)),VALUE(MID(D205,FIND("/",D205,6)+1,2))))=VALUE(MID(D205,FIND("/",D205,6)+1,2)),DATE(VALUE(LEFT(D205,4)),VALUE(MID(D205,6,FIND("/",D205,6)-6)),VALUE(MID(D205,FIND("/",D205,6)+1,2)))&gt;=DATE(1900,1,1),DATE(VALUE(LEFT(D205,4)),VALUE(MID(D205,6,FIND("/",D205,6)-6)),VALUE(MID(D205,FIND("/",D205,6)+1,2)))&lt;=$B$3,NOT(AND(VALUE(LEFT(D205,4))=1900,VALUE(MID(D205,6,FIND("/",D205,6)-6))=2,VALUE(MID(D205,FIND("/",D205,6)+1,2))=29))),FALSE())),"要確認：生年月日は西暦/月/日",IF(COUNTA(F205:H205)=0,"要確認：受験種目",IF(NOT(ISNUMBER(K205)),"要確認：級・段位",IF(AND(I205&lt;&gt;"",NOT(OR(I205="未確認",I205="はい",I205="いいえ"))),"要確認：初受験",IF(OR(AND(F205&lt;&gt;"",COUNTIFS($B$13:$B$212,B205,$M$13:$M$212,M205,$F$13:$F$212,F205)&gt;1),AND(G205&lt;&gt;"",COUNTIFS($B$13:$B$212,B205,$M$13:$M$212,M205,$G$13:$G$212,G205)&gt;1),AND(H205&lt;&gt;"",COUNTIFS($B$13:$B$212,B205,$M$13:$M$212,M205,$H$13:$H$212,H205)&gt;1)),"要確認：同じ種目・級が重複",""))))))))</f>
        <v/>
      </c>
      <c r="M205" s="1" t="str">
        <f t="shared" ref="M205:M212" si="27">IF(D205="","",IFERROR(DATE(VALUE(LEFT(D205,4)),VALUE(MID(D205,6,FIND("/",D205,6)-6)),VALUE(MID(D205,FIND("/",D205,6)+1,2))),""))</f>
        <v/>
      </c>
    </row>
    <row r="206" spans="1:13" ht="27" customHeight="1">
      <c r="A206" s="8" t="str">
        <f t="shared" si="24"/>
        <v/>
      </c>
      <c r="B206" s="13"/>
      <c r="C206" s="13"/>
      <c r="D206" s="13"/>
      <c r="E206" s="9" t="str">
        <f t="shared" si="25"/>
        <v/>
      </c>
      <c r="F206" s="14"/>
      <c r="G206" s="14"/>
      <c r="H206" s="14"/>
      <c r="I206" s="14"/>
      <c r="J206" s="14"/>
      <c r="K206" s="10" t="str">
        <f>IF(COUNTA(B206:D206,F206:J206)=0,"",IF(OR(AND(F206&lt;&gt;"",ISERROR(VLOOKUP(VALUE(F206),料金表!$A$6:$B$8,2,FALSE()))),AND(G206&lt;&gt;"",ISERROR(VLOOKUP(VALUE(G206),料金表!$D$6:$E$8,2,FALSE()))),AND(H206&lt;&gt;"",ISERROR(VLOOKUP(H206,料金表!$G$6:$H$8,2,FALSE())))),"要確認",IF(F206="",0,VLOOKUP(VALUE(F206),料金表!$A$6:$B$8,2,FALSE()))+IF(G206="",0,VLOOKUP(VALUE(G206),料金表!$D$6:$E$8,2,FALSE()))+IF(H206="",0,VLOOKUP(H206,料金表!$G$6:$H$8,2,FALSE()))))</f>
        <v/>
      </c>
      <c r="L206" s="8" t="str">
        <f t="shared" si="26"/>
        <v/>
      </c>
      <c r="M206" s="1" t="str">
        <f t="shared" si="27"/>
        <v/>
      </c>
    </row>
    <row r="207" spans="1:13" ht="27" customHeight="1">
      <c r="A207" s="8" t="str">
        <f t="shared" si="24"/>
        <v/>
      </c>
      <c r="B207" s="13"/>
      <c r="C207" s="13"/>
      <c r="D207" s="13"/>
      <c r="E207" s="9" t="str">
        <f t="shared" si="25"/>
        <v/>
      </c>
      <c r="F207" s="14"/>
      <c r="G207" s="14"/>
      <c r="H207" s="14"/>
      <c r="I207" s="14"/>
      <c r="J207" s="14"/>
      <c r="K207" s="10" t="str">
        <f>IF(COUNTA(B207:D207,F207:J207)=0,"",IF(OR(AND(F207&lt;&gt;"",ISERROR(VLOOKUP(VALUE(F207),料金表!$A$6:$B$8,2,FALSE()))),AND(G207&lt;&gt;"",ISERROR(VLOOKUP(VALUE(G207),料金表!$D$6:$E$8,2,FALSE()))),AND(H207&lt;&gt;"",ISERROR(VLOOKUP(H207,料金表!$G$6:$H$8,2,FALSE())))),"要確認",IF(F207="",0,VLOOKUP(VALUE(F207),料金表!$A$6:$B$8,2,FALSE()))+IF(G207="",0,VLOOKUP(VALUE(G207),料金表!$D$6:$E$8,2,FALSE()))+IF(H207="",0,VLOOKUP(H207,料金表!$G$6:$H$8,2,FALSE()))))</f>
        <v/>
      </c>
      <c r="L207" s="8" t="str">
        <f t="shared" si="26"/>
        <v/>
      </c>
      <c r="M207" s="1" t="str">
        <f t="shared" si="27"/>
        <v/>
      </c>
    </row>
    <row r="208" spans="1:13" ht="27" customHeight="1">
      <c r="A208" s="8" t="str">
        <f t="shared" si="24"/>
        <v/>
      </c>
      <c r="B208" s="13"/>
      <c r="C208" s="13"/>
      <c r="D208" s="13"/>
      <c r="E208" s="9" t="str">
        <f t="shared" si="25"/>
        <v/>
      </c>
      <c r="F208" s="14"/>
      <c r="G208" s="14"/>
      <c r="H208" s="14"/>
      <c r="I208" s="14"/>
      <c r="J208" s="14"/>
      <c r="K208" s="10" t="str">
        <f>IF(COUNTA(B208:D208,F208:J208)=0,"",IF(OR(AND(F208&lt;&gt;"",ISERROR(VLOOKUP(VALUE(F208),料金表!$A$6:$B$8,2,FALSE()))),AND(G208&lt;&gt;"",ISERROR(VLOOKUP(VALUE(G208),料金表!$D$6:$E$8,2,FALSE()))),AND(H208&lt;&gt;"",ISERROR(VLOOKUP(H208,料金表!$G$6:$H$8,2,FALSE())))),"要確認",IF(F208="",0,VLOOKUP(VALUE(F208),料金表!$A$6:$B$8,2,FALSE()))+IF(G208="",0,VLOOKUP(VALUE(G208),料金表!$D$6:$E$8,2,FALSE()))+IF(H208="",0,VLOOKUP(H208,料金表!$G$6:$H$8,2,FALSE()))))</f>
        <v/>
      </c>
      <c r="L208" s="8" t="str">
        <f t="shared" si="26"/>
        <v/>
      </c>
      <c r="M208" s="1" t="str">
        <f t="shared" si="27"/>
        <v/>
      </c>
    </row>
    <row r="209" spans="1:13" ht="27" customHeight="1">
      <c r="A209" s="8" t="str">
        <f t="shared" si="24"/>
        <v/>
      </c>
      <c r="B209" s="13"/>
      <c r="C209" s="13"/>
      <c r="D209" s="13"/>
      <c r="E209" s="9" t="str">
        <f t="shared" si="25"/>
        <v/>
      </c>
      <c r="F209" s="14"/>
      <c r="G209" s="14"/>
      <c r="H209" s="14"/>
      <c r="I209" s="14"/>
      <c r="J209" s="14"/>
      <c r="K209" s="10" t="str">
        <f>IF(COUNTA(B209:D209,F209:J209)=0,"",IF(OR(AND(F209&lt;&gt;"",ISERROR(VLOOKUP(VALUE(F209),料金表!$A$6:$B$8,2,FALSE()))),AND(G209&lt;&gt;"",ISERROR(VLOOKUP(VALUE(G209),料金表!$D$6:$E$8,2,FALSE()))),AND(H209&lt;&gt;"",ISERROR(VLOOKUP(H209,料金表!$G$6:$H$8,2,FALSE())))),"要確認",IF(F209="",0,VLOOKUP(VALUE(F209),料金表!$A$6:$B$8,2,FALSE()))+IF(G209="",0,VLOOKUP(VALUE(G209),料金表!$D$6:$E$8,2,FALSE()))+IF(H209="",0,VLOOKUP(H209,料金表!$G$6:$H$8,2,FALSE()))))</f>
        <v/>
      </c>
      <c r="L209" s="8" t="str">
        <f t="shared" si="26"/>
        <v/>
      </c>
      <c r="M209" s="1" t="str">
        <f t="shared" si="27"/>
        <v/>
      </c>
    </row>
    <row r="210" spans="1:13" ht="27" customHeight="1">
      <c r="A210" s="8" t="str">
        <f t="shared" si="24"/>
        <v/>
      </c>
      <c r="B210" s="13"/>
      <c r="C210" s="13"/>
      <c r="D210" s="13"/>
      <c r="E210" s="9" t="str">
        <f t="shared" si="25"/>
        <v/>
      </c>
      <c r="F210" s="14"/>
      <c r="G210" s="14"/>
      <c r="H210" s="14"/>
      <c r="I210" s="14"/>
      <c r="J210" s="14"/>
      <c r="K210" s="10" t="str">
        <f>IF(COUNTA(B210:D210,F210:J210)=0,"",IF(OR(AND(F210&lt;&gt;"",ISERROR(VLOOKUP(VALUE(F210),料金表!$A$6:$B$8,2,FALSE()))),AND(G210&lt;&gt;"",ISERROR(VLOOKUP(VALUE(G210),料金表!$D$6:$E$8,2,FALSE()))),AND(H210&lt;&gt;"",ISERROR(VLOOKUP(H210,料金表!$G$6:$H$8,2,FALSE())))),"要確認",IF(F210="",0,VLOOKUP(VALUE(F210),料金表!$A$6:$B$8,2,FALSE()))+IF(G210="",0,VLOOKUP(VALUE(G210),料金表!$D$6:$E$8,2,FALSE()))+IF(H210="",0,VLOOKUP(H210,料金表!$G$6:$H$8,2,FALSE()))))</f>
        <v/>
      </c>
      <c r="L210" s="8" t="str">
        <f t="shared" si="26"/>
        <v/>
      </c>
      <c r="M210" s="1" t="str">
        <f t="shared" si="27"/>
        <v/>
      </c>
    </row>
    <row r="211" spans="1:13" ht="27" customHeight="1">
      <c r="A211" s="8" t="str">
        <f t="shared" si="24"/>
        <v/>
      </c>
      <c r="B211" s="13"/>
      <c r="C211" s="13"/>
      <c r="D211" s="13"/>
      <c r="E211" s="9" t="str">
        <f t="shared" si="25"/>
        <v/>
      </c>
      <c r="F211" s="14"/>
      <c r="G211" s="14"/>
      <c r="H211" s="14"/>
      <c r="I211" s="14"/>
      <c r="J211" s="14"/>
      <c r="K211" s="10" t="str">
        <f>IF(COUNTA(B211:D211,F211:J211)=0,"",IF(OR(AND(F211&lt;&gt;"",ISERROR(VLOOKUP(VALUE(F211),料金表!$A$6:$B$8,2,FALSE()))),AND(G211&lt;&gt;"",ISERROR(VLOOKUP(VALUE(G211),料金表!$D$6:$E$8,2,FALSE()))),AND(H211&lt;&gt;"",ISERROR(VLOOKUP(H211,料金表!$G$6:$H$8,2,FALSE())))),"要確認",IF(F211="",0,VLOOKUP(VALUE(F211),料金表!$A$6:$B$8,2,FALSE()))+IF(G211="",0,VLOOKUP(VALUE(G211),料金表!$D$6:$E$8,2,FALSE()))+IF(H211="",0,VLOOKUP(H211,料金表!$G$6:$H$8,2,FALSE()))))</f>
        <v/>
      </c>
      <c r="L211" s="8" t="str">
        <f t="shared" si="26"/>
        <v/>
      </c>
      <c r="M211" s="1" t="str">
        <f t="shared" si="27"/>
        <v/>
      </c>
    </row>
    <row r="212" spans="1:13" ht="27" customHeight="1">
      <c r="A212" s="8" t="str">
        <f t="shared" si="24"/>
        <v/>
      </c>
      <c r="B212" s="13"/>
      <c r="C212" s="13"/>
      <c r="D212" s="13"/>
      <c r="E212" s="9" t="str">
        <f t="shared" si="25"/>
        <v/>
      </c>
      <c r="F212" s="14"/>
      <c r="G212" s="14"/>
      <c r="H212" s="14"/>
      <c r="I212" s="14"/>
      <c r="J212" s="14"/>
      <c r="K212" s="10" t="str">
        <f>IF(COUNTA(B212:D212,F212:J212)=0,"",IF(OR(AND(F212&lt;&gt;"",ISERROR(VLOOKUP(VALUE(F212),料金表!$A$6:$B$8,2,FALSE()))),AND(G212&lt;&gt;"",ISERROR(VLOOKUP(VALUE(G212),料金表!$D$6:$E$8,2,FALSE()))),AND(H212&lt;&gt;"",ISERROR(VLOOKUP(H212,料金表!$G$6:$H$8,2,FALSE())))),"要確認",IF(F212="",0,VLOOKUP(VALUE(F212),料金表!$A$6:$B$8,2,FALSE()))+IF(G212="",0,VLOOKUP(VALUE(G212),料金表!$D$6:$E$8,2,FALSE()))+IF(H212="",0,VLOOKUP(H212,料金表!$G$6:$H$8,2,FALSE()))))</f>
        <v/>
      </c>
      <c r="L212" s="8" t="str">
        <f t="shared" si="26"/>
        <v/>
      </c>
      <c r="M212" s="1" t="str">
        <f t="shared" si="27"/>
        <v/>
      </c>
    </row>
  </sheetData>
  <sheetProtection formatColumns="0" formatRows="0"/>
  <phoneticPr fontId="7"/>
  <conditionalFormatting sqref="K7">
    <cfRule type="cellIs" dxfId="1" priority="2" operator="greaterThan">
      <formula>0</formula>
    </cfRule>
  </conditionalFormatting>
  <conditionalFormatting sqref="L13:L212">
    <cfRule type="containsText" dxfId="0" priority="1" operator="containsText" text="要確認"/>
  </conditionalFormatting>
  <dataValidations count="6">
    <dataValidation type="custom" allowBlank="1" showErrorMessage="1" errorTitle="入力内容を確認してください" error="姓と名の間に半角スペースを1つ入れてください。前後のスペース・全角スペースは使いません。" sqref="B13:B212" xr:uid="{00000000-0002-0000-0000-000000000000}">
      <formula1>AND(ISTEXT(B13),LEN(B13)-LEN(SUBSTITUTE(B13," ",""))=1,LEFT(B13,1)&lt;&gt;" ",RIGHT(B13,1)&lt;&gt;" ",ISERROR(SEARCH("　",B13)))</formula1>
    </dataValidation>
    <dataValidation type="custom" allowBlank="1" showErrorMessage="1" errorTitle="入力内容を確認してください" error="生年月日は西暦/月/日で入力してください。数字だけ・存在しない日付は入力できません。" sqref="D13:D212" xr:uid="{00000000-0002-0000-0000-000001000000}">
      <formula1>IFERROR(AND(ISTEXT(D13),LEN(D13)&gt;=8,LEN(D13)&lt;=10,MID(D13,5,1)="/",LEN(D13)-LEN(SUBSTITUTE(D13,"/",""))=2,FIND("/",D13,6)&gt;=7,FIND("/",D13,6)&lt;=8,LEN(D13)-FIND("/",D13,6)&gt;=1,LEN(D13)-FIND("/",D13,6)&lt;=2,YEAR(DATE(VALUE(LEFT(D13,4)),VALUE(MID(D13,6,FIND("/",D13,6)-6)),VALUE(MID(D13,FIND("/",D13,6)+1,2))))=VALUE(LEFT(D13,4)),MONTH(DATE(VALUE(LEFT(D13,4)),VALUE(MID(D13,6,FIND("/",D13,6)-6)),VALUE(MID(D13,FIND("/",D13,6)+1,2))))=VALUE(MID(D13,6,FIND("/",D13,6)-6)),DAY(DATE(VALUE(LEFT(D13,4)),VALUE(MID(D13,6,FIND("/",D13,6)-6)),VALUE(MID(D13,FIND("/",D13,6)+1,2))))=VALUE(MID(D13,FIND("/",D13,6)+1,2)),DATE(VALUE(LEFT(D13,4)),VALUE(MID(D13,6,FIND("/",D13,6)-6)),VALUE(MID(D13,FIND("/",D13,6)+1,2)))&gt;=DATE(1900,1,1),DATE(VALUE(LEFT(D13,4)),VALUE(MID(D13,6,FIND("/",D13,6)-6)),VALUE(MID(D13,FIND("/",D13,6)+1,2)))&lt;=$B$3,NOT(AND(VALUE(LEFT(D13,4))=1900,VALUE(MID(D13,6,FIND("/",D13,6)-6))=2,VALUE(MID(D13,FIND("/",D13,6)+1,2))=29))),FALSE())</formula1>
    </dataValidation>
    <dataValidation type="custom" allowBlank="1" showErrorMessage="1" errorTitle="入力内容を確認してください" error="振込予定日は西暦/月/日で入力してください。任意項目です。" sqref="C8" xr:uid="{00000000-0002-0000-0000-000002000000}">
      <formula1>IFERROR(AND(ISTEXT(C8),LEN(C8)&gt;=8,LEN(C8)&lt;=10,MID(C8,5,1)="/",LEN(C8)-LEN(SUBSTITUTE(C8,"/",""))=2,FIND("/",C8,6)&gt;=7,FIND("/",C8,6)&lt;=8,LEN(C8)-FIND("/",C8,6)&gt;=1,LEN(C8)-FIND("/",C8,6)&lt;=2,YEAR(DATE(VALUE(LEFT(C8,4)),VALUE(MID(C8,6,FIND("/",C8,6)-6)),VALUE(MID(C8,FIND("/",C8,6)+1,2))))=VALUE(LEFT(C8,4)),MONTH(DATE(VALUE(LEFT(C8,4)),VALUE(MID(C8,6,FIND("/",C8,6)-6)),VALUE(MID(C8,FIND("/",C8,6)+1,2))))=VALUE(MID(C8,6,FIND("/",C8,6)-6)),DAY(DATE(VALUE(LEFT(C8,4)),VALUE(MID(C8,6,FIND("/",C8,6)-6)),VALUE(MID(C8,FIND("/",C8,6)+1,2))))=VALUE(MID(C8,FIND("/",C8,6)+1,2)),DATE(VALUE(LEFT(C8,4)),VALUE(MID(C8,6,FIND("/",C8,6)-6)),VALUE(MID(C8,FIND("/",C8,6)+1,2)))&gt;=DATE(1900,1,1),DATE(VALUE(LEFT(C8,4)),VALUE(MID(C8,6,FIND("/",C8,6)-6)),VALUE(MID(C8,FIND("/",C8,6)+1,2)))&lt;=$B$3,NOT(AND(VALUE(LEFT(C8,4))=1900,VALUE(MID(C8,6,FIND("/",C8,6)-6))=2,VALUE(MID(C8,FIND("/",C8,6)+1,2))=29))),FALSE())</formula1>
    </dataValidation>
    <dataValidation type="list" allowBlank="1" showErrorMessage="1" errorTitle="入力内容を確認してください" error="プルダウンの選択肢から選んでください。受験しない欄は空欄です。" sqref="F13:G212" xr:uid="{00000000-0002-0000-0000-000003000000}">
      <formula1>"1,2,3"</formula1>
    </dataValidation>
    <dataValidation type="list" allowBlank="1" showErrorMessage="1" errorTitle="入力内容を確認してください" error="プルダウンの選択肢から選んでください。受験しない欄は空欄です。" sqref="H13:H212" xr:uid="{00000000-0002-0000-0000-000005000000}">
      <formula1>"珠算・暗算,珠算のみ,暗算のみ"</formula1>
    </dataValidation>
    <dataValidation type="list" allowBlank="1" showErrorMessage="1" errorTitle="入力内容を確認してください" error="プルダウンの選択肢から選んでください。受験しない欄は空欄です。" sqref="I13:I212" xr:uid="{00000000-0002-0000-0000-000006000000}">
      <formula1>"未確認,はい,いいえ"</formula1>
    </dataValidation>
  </dataValidations>
  <printOptions horizontalCentered="1"/>
  <pageMargins left="0.25" right="0.25" top="0.4" bottom="0.4" header="0.15" footer="0.15"/>
  <pageSetup paperSize="9" scale="65" fitToHeight="0" orientation="landscape" r:id="rId1"/>
  <headerFooter>
    <oddFooter>&amp;L教室申込書&amp;C&amp;P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2"/>
  <sheetViews>
    <sheetView showGridLines="0" workbookViewId="0"/>
  </sheetViews>
  <sheetFormatPr defaultRowHeight="14.25"/>
  <cols>
    <col min="1" max="1" width="24" customWidth="1"/>
    <col min="2" max="2" width="16" customWidth="1"/>
    <col min="3" max="3" width="4" customWidth="1"/>
    <col min="4" max="4" width="24" customWidth="1"/>
    <col min="5" max="5" width="16" customWidth="1"/>
    <col min="6" max="6" width="4" customWidth="1"/>
    <col min="7" max="7" width="24" customWidth="1"/>
    <col min="8" max="8" width="16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>
      <c r="A2" s="2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7.95" customHeight="1">
      <c r="A5" s="4" t="s">
        <v>23</v>
      </c>
      <c r="B5" s="4" t="s">
        <v>28</v>
      </c>
      <c r="C5" s="1"/>
      <c r="D5" s="4" t="s">
        <v>24</v>
      </c>
      <c r="E5" s="4" t="s">
        <v>28</v>
      </c>
      <c r="F5" s="1"/>
      <c r="G5" s="4" t="s">
        <v>25</v>
      </c>
      <c r="H5" s="4" t="s">
        <v>28</v>
      </c>
      <c r="I5" s="1"/>
      <c r="J5" s="1"/>
      <c r="K5" s="1"/>
      <c r="L5" s="1"/>
    </row>
    <row r="6" spans="1:12">
      <c r="A6" s="1">
        <v>1</v>
      </c>
      <c r="B6" s="3">
        <v>2800</v>
      </c>
      <c r="C6" s="1"/>
      <c r="D6" s="1">
        <v>1</v>
      </c>
      <c r="E6" s="3">
        <v>1200</v>
      </c>
      <c r="F6" s="1"/>
      <c r="G6" s="1" t="s">
        <v>39</v>
      </c>
      <c r="H6" s="3">
        <v>3500</v>
      </c>
      <c r="I6" s="1"/>
      <c r="J6" s="1"/>
      <c r="K6" s="1"/>
      <c r="L6" s="1"/>
    </row>
    <row r="7" spans="1:12">
      <c r="A7" s="1">
        <v>2</v>
      </c>
      <c r="B7" s="3">
        <v>2000</v>
      </c>
      <c r="C7" s="1"/>
      <c r="D7" s="1">
        <v>2</v>
      </c>
      <c r="E7" s="3">
        <v>1200</v>
      </c>
      <c r="F7" s="1"/>
      <c r="G7" s="1" t="s">
        <v>40</v>
      </c>
      <c r="H7" s="3">
        <v>3000</v>
      </c>
      <c r="I7" s="1"/>
      <c r="J7" s="1"/>
      <c r="K7" s="1"/>
      <c r="L7" s="1"/>
    </row>
    <row r="8" spans="1:12">
      <c r="A8" s="1">
        <v>3</v>
      </c>
      <c r="B8" s="3">
        <v>1800</v>
      </c>
      <c r="C8" s="1"/>
      <c r="D8" s="1">
        <v>3</v>
      </c>
      <c r="E8" s="3">
        <v>1200</v>
      </c>
      <c r="F8" s="1"/>
      <c r="G8" s="1" t="s">
        <v>41</v>
      </c>
      <c r="H8" s="3">
        <v>1500</v>
      </c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 t="s">
        <v>42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 t="s">
        <v>43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 t="s">
        <v>44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 t="s">
        <v>45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 t="s">
        <v>46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 t="s">
        <v>47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 t="s">
        <v>48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 t="s">
        <v>49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 t="s">
        <v>50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 t="s">
        <v>51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 t="s">
        <v>52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</sheetData>
  <sheetProtection password="9747" sheet="1" objects="1" scenarios="1"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601"/>
  <sheetViews>
    <sheetView showGridLines="0" workbookViewId="0">
      <pane ySplit="1" topLeftCell="A2" activePane="bottomLeft" state="frozen"/>
      <selection pane="bottomLeft" activeCell="G12" sqref="G12"/>
    </sheetView>
  </sheetViews>
  <sheetFormatPr defaultRowHeight="14.25"/>
  <cols>
    <col min="8" max="8" width="18" customWidth="1"/>
    <col min="9" max="9" width="8" customWidth="1"/>
    <col min="10" max="11" width="18" customWidth="1"/>
    <col min="12" max="13" width="23" customWidth="1"/>
    <col min="14" max="22" width="18" customWidth="1"/>
    <col min="50" max="50" width="80" customWidth="1"/>
    <col min="51" max="51" width="34" customWidth="1"/>
  </cols>
  <sheetData>
    <row r="1" spans="1:51" ht="42" customHeight="1">
      <c r="A1" s="5" t="s">
        <v>53</v>
      </c>
      <c r="B1" s="5" t="s">
        <v>54</v>
      </c>
      <c r="C1" s="5" t="s">
        <v>55</v>
      </c>
      <c r="D1" s="5" t="s">
        <v>56</v>
      </c>
      <c r="E1" s="5" t="s">
        <v>57</v>
      </c>
      <c r="F1" s="5"/>
      <c r="G1" s="5" t="s">
        <v>58</v>
      </c>
      <c r="H1" s="5" t="s">
        <v>59</v>
      </c>
      <c r="I1" s="5" t="s">
        <v>60</v>
      </c>
      <c r="J1" s="5" t="s">
        <v>61</v>
      </c>
      <c r="K1" s="5" t="s">
        <v>62</v>
      </c>
      <c r="L1" s="5" t="s">
        <v>19</v>
      </c>
      <c r="M1" s="5" t="s">
        <v>63</v>
      </c>
      <c r="N1" s="5" t="s">
        <v>64</v>
      </c>
      <c r="O1" s="5" t="s">
        <v>65</v>
      </c>
      <c r="P1" s="5" t="s">
        <v>10</v>
      </c>
      <c r="Q1" s="5" t="s">
        <v>9</v>
      </c>
      <c r="R1" s="5" t="s">
        <v>66</v>
      </c>
      <c r="S1" s="5" t="s">
        <v>12</v>
      </c>
      <c r="T1" s="5" t="s">
        <v>67</v>
      </c>
      <c r="U1" s="5" t="s">
        <v>68</v>
      </c>
      <c r="V1" s="5" t="s">
        <v>69</v>
      </c>
      <c r="W1" s="5" t="s">
        <v>70</v>
      </c>
      <c r="X1" s="5" t="s">
        <v>71</v>
      </c>
      <c r="Y1" s="5" t="s">
        <v>72</v>
      </c>
      <c r="Z1" s="5" t="s">
        <v>73</v>
      </c>
      <c r="AA1" s="5" t="s">
        <v>74</v>
      </c>
      <c r="AB1" s="5" t="s">
        <v>75</v>
      </c>
      <c r="AC1" s="5" t="s">
        <v>76</v>
      </c>
      <c r="AD1" s="5" t="s">
        <v>77</v>
      </c>
      <c r="AE1" s="5" t="s">
        <v>78</v>
      </c>
      <c r="AF1" s="5" t="s">
        <v>79</v>
      </c>
      <c r="AG1" s="5" t="s">
        <v>80</v>
      </c>
      <c r="AH1" s="5" t="s">
        <v>81</v>
      </c>
      <c r="AI1" s="5" t="s">
        <v>82</v>
      </c>
      <c r="AJ1" s="5" t="s">
        <v>83</v>
      </c>
      <c r="AK1" s="5" t="s">
        <v>84</v>
      </c>
      <c r="AL1" s="5" t="s">
        <v>85</v>
      </c>
      <c r="AM1" s="5" t="s">
        <v>86</v>
      </c>
      <c r="AN1" s="5" t="s">
        <v>87</v>
      </c>
      <c r="AO1" s="5"/>
      <c r="AP1" s="5"/>
      <c r="AQ1" s="5" t="s">
        <v>88</v>
      </c>
      <c r="AR1" s="5"/>
      <c r="AS1" s="5"/>
      <c r="AT1" s="5" t="s">
        <v>89</v>
      </c>
      <c r="AU1" s="5"/>
      <c r="AV1" s="5"/>
      <c r="AW1" s="1"/>
      <c r="AX1" s="1" t="s">
        <v>90</v>
      </c>
      <c r="AY1" s="1"/>
    </row>
    <row r="2" spans="1:51" ht="24" customHeight="1">
      <c r="A2" s="11"/>
      <c r="B2" s="11"/>
      <c r="C2" s="11"/>
      <c r="D2" s="11"/>
      <c r="E2" s="11"/>
      <c r="F2" s="11"/>
      <c r="G2" s="11"/>
      <c r="H2" s="11" t="str">
        <f>IF(AND(ROW()-1&lt;=教室申込!$K$5,教室申込!$K$7=0,COUNTA(教室申込!$C$4)=1),INDEX(展開用!$C$2:$C$601,MATCH(ROW()-1,展開用!$E$2:$E$601,0)),"")</f>
        <v/>
      </c>
      <c r="I2" s="11" t="str">
        <f>IF(AND(ROW()-1&lt;=教室申込!$K$5,教室申込!$K$7=0,COUNTA(教室申込!$C$4)=1),INDEX(展開用!$D$2:$D$601,MATCH(ROW()-1,展開用!$E$2:$E$601,0)),"")</f>
        <v/>
      </c>
      <c r="J2" s="11"/>
      <c r="K2" s="11"/>
      <c r="L2" s="11" t="str">
        <f>IF(AND(ROW()-1&lt;=教室申込!$K$5,教室申込!$K$7=0,COUNTA(教室申込!$C$4)=1),INDEX(教室申込!$B$1:$B$212,$AW2),"")</f>
        <v/>
      </c>
      <c r="M2" s="11" t="str">
        <f>IF(AND(ROW()-1&lt;=教室申込!$K$5,教室申込!$K$7=0,COUNTA(教室申込!$C$4)=1),INDEX(教室申込!$C$1:$C$212,$AW2),"")</f>
        <v/>
      </c>
      <c r="N2" s="11"/>
      <c r="O2" s="12" t="str">
        <f>IF(AND(ROW()-1&lt;=教室申込!$K$5,教室申込!$K$7=0,COUNTA(教室申込!$C$4)=1),INDEX(展開用!$G$2:$G$601,MATCH(ROW()-1,展開用!$E$2:$E$601,0)),"")</f>
        <v/>
      </c>
      <c r="P2" s="11"/>
      <c r="Q2" s="11"/>
      <c r="R2" s="11"/>
      <c r="S2" s="11"/>
      <c r="T2" s="11"/>
      <c r="U2" s="11" t="str">
        <f>IF(AND(ROW()-1&lt;=教室申込!$K$5,教室申込!$K$7=0,COUNTA(教室申込!$C$4)=1),INDEX(展開用!$F$2:$F$601,MATCH(ROW()-1,展開用!$E$2:$E$601,0)),"")</f>
        <v/>
      </c>
      <c r="V2" s="11"/>
      <c r="W2" s="11"/>
      <c r="X2" s="11"/>
      <c r="Y2" s="11"/>
      <c r="Z2" s="11"/>
      <c r="AA2" s="11" t="str">
        <f>IF($AW2="","",IF(INDEX(教室申込!$J$1:$J$212,$AW2)="","",INDEX(教室申込!$J$1:$J$212,$AW2)))</f>
        <v/>
      </c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" t="str">
        <f>IF(AND(ROW()-1&lt;=教室申込!$K$5,教室申込!$K$7=0,COUNTA(教室申込!$C$4)=1),INDEX(展開用!$B$2:$B$601,MATCH(ROW()-1,展開用!$E$2:$E$601,0)),"")</f>
        <v/>
      </c>
      <c r="AX2" s="1" t="s">
        <v>91</v>
      </c>
      <c r="AY2" s="1"/>
    </row>
    <row r="3" spans="1:51" ht="24" customHeight="1">
      <c r="A3" s="11"/>
      <c r="B3" s="11"/>
      <c r="C3" s="11"/>
      <c r="D3" s="11"/>
      <c r="E3" s="11"/>
      <c r="F3" s="11"/>
      <c r="G3" s="11"/>
      <c r="H3" s="11" t="str">
        <f>IF(AND(ROW()-1&lt;=教室申込!$K$5,教室申込!$K$7=0,COUNTA(教室申込!$C$4)=1),INDEX(展開用!$C$2:$C$601,MATCH(ROW()-1,展開用!$E$2:$E$601,0)),"")</f>
        <v/>
      </c>
      <c r="I3" s="11" t="str">
        <f>IF(AND(ROW()-1&lt;=教室申込!$K$5,教室申込!$K$7=0,COUNTA(教室申込!$C$4)=1),INDEX(展開用!$D$2:$D$601,MATCH(ROW()-1,展開用!$E$2:$E$601,0)),"")</f>
        <v/>
      </c>
      <c r="J3" s="11"/>
      <c r="K3" s="11"/>
      <c r="L3" s="11" t="str">
        <f>IF(AND(ROW()-1&lt;=教室申込!$K$5,教室申込!$K$7=0,COUNTA(教室申込!$C$4)=1),INDEX(教室申込!$B$1:$B$212,$AW3),"")</f>
        <v/>
      </c>
      <c r="M3" s="11" t="str">
        <f>IF(AND(ROW()-1&lt;=教室申込!$K$5,教室申込!$K$7=0,COUNTA(教室申込!$C$4)=1),INDEX(教室申込!$C$1:$C$212,$AW3),"")</f>
        <v/>
      </c>
      <c r="N3" s="11"/>
      <c r="O3" s="12" t="str">
        <f>IF(AND(ROW()-1&lt;=教室申込!$K$5,教室申込!$K$7=0,COUNTA(教室申込!$C$4)=1),INDEX(展開用!$G$2:$G$601,MATCH(ROW()-1,展開用!$E$2:$E$601,0)),"")</f>
        <v/>
      </c>
      <c r="P3" s="11"/>
      <c r="Q3" s="11"/>
      <c r="R3" s="11"/>
      <c r="S3" s="11"/>
      <c r="T3" s="11"/>
      <c r="U3" s="11" t="str">
        <f>IF(AND(ROW()-1&lt;=教室申込!$K$5,教室申込!$K$7=0,COUNTA(教室申込!$C$4)=1),INDEX(展開用!$F$2:$F$601,MATCH(ROW()-1,展開用!$E$2:$E$601,0)),"")</f>
        <v/>
      </c>
      <c r="V3" s="11"/>
      <c r="W3" s="11"/>
      <c r="X3" s="11"/>
      <c r="Y3" s="11"/>
      <c r="Z3" s="11"/>
      <c r="AA3" s="11" t="str">
        <f>IF($AW3="","",IF(INDEX(教室申込!$J$1:$J$212,$AW3)="","",INDEX(教室申込!$J$1:$J$212,$AW3)))</f>
        <v/>
      </c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" t="str">
        <f>IF(AND(ROW()-1&lt;=教室申込!$K$5,教室申込!$K$7=0,COUNTA(教室申込!$C$4)=1),INDEX(展開用!$B$2:$B$601,MATCH(ROW()-1,展開用!$E$2:$E$601,0)),"")</f>
        <v/>
      </c>
      <c r="AX3" s="1" t="s">
        <v>92</v>
      </c>
      <c r="AY3" s="1"/>
    </row>
    <row r="4" spans="1:51" ht="24" customHeight="1">
      <c r="A4" s="11"/>
      <c r="B4" s="11"/>
      <c r="C4" s="11"/>
      <c r="D4" s="11"/>
      <c r="E4" s="11"/>
      <c r="F4" s="11"/>
      <c r="G4" s="11"/>
      <c r="H4" s="11" t="str">
        <f>IF(AND(ROW()-1&lt;=教室申込!$K$5,教室申込!$K$7=0,COUNTA(教室申込!$C$4)=1),INDEX(展開用!$C$2:$C$601,MATCH(ROW()-1,展開用!$E$2:$E$601,0)),"")</f>
        <v/>
      </c>
      <c r="I4" s="11" t="str">
        <f>IF(AND(ROW()-1&lt;=教室申込!$K$5,教室申込!$K$7=0,COUNTA(教室申込!$C$4)=1),INDEX(展開用!$D$2:$D$601,MATCH(ROW()-1,展開用!$E$2:$E$601,0)),"")</f>
        <v/>
      </c>
      <c r="J4" s="11"/>
      <c r="K4" s="11"/>
      <c r="L4" s="11" t="str">
        <f>IF(AND(ROW()-1&lt;=教室申込!$K$5,教室申込!$K$7=0,COUNTA(教室申込!$C$4)=1),INDEX(教室申込!$B$1:$B$212,$AW4),"")</f>
        <v/>
      </c>
      <c r="M4" s="11" t="str">
        <f>IF(AND(ROW()-1&lt;=教室申込!$K$5,教室申込!$K$7=0,COUNTA(教室申込!$C$4)=1),INDEX(教室申込!$C$1:$C$212,$AW4),"")</f>
        <v/>
      </c>
      <c r="N4" s="11"/>
      <c r="O4" s="12" t="str">
        <f>IF(AND(ROW()-1&lt;=教室申込!$K$5,教室申込!$K$7=0,COUNTA(教室申込!$C$4)=1),INDEX(展開用!$G$2:$G$601,MATCH(ROW()-1,展開用!$E$2:$E$601,0)),"")</f>
        <v/>
      </c>
      <c r="P4" s="11"/>
      <c r="Q4" s="11"/>
      <c r="R4" s="11"/>
      <c r="S4" s="11"/>
      <c r="T4" s="11"/>
      <c r="U4" s="11" t="str">
        <f>IF(AND(ROW()-1&lt;=教室申込!$K$5,教室申込!$K$7=0,COUNTA(教室申込!$C$4)=1),INDEX(展開用!$F$2:$F$601,MATCH(ROW()-1,展開用!$E$2:$E$601,0)),"")</f>
        <v/>
      </c>
      <c r="V4" s="11"/>
      <c r="W4" s="11"/>
      <c r="X4" s="11"/>
      <c r="Y4" s="11"/>
      <c r="Z4" s="11"/>
      <c r="AA4" s="11" t="str">
        <f>IF($AW4="","",IF(INDEX(教室申込!$J$1:$J$212,$AW4)="","",INDEX(教室申込!$J$1:$J$212,$AW4)))</f>
        <v/>
      </c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" t="str">
        <f>IF(AND(ROW()-1&lt;=教室申込!$K$5,教室申込!$K$7=0,COUNTA(教室申込!$C$4)=1),INDEX(展開用!$B$2:$B$601,MATCH(ROW()-1,展開用!$E$2:$E$601,0)),"")</f>
        <v/>
      </c>
      <c r="AX4" s="1" t="s">
        <v>93</v>
      </c>
      <c r="AY4" s="1"/>
    </row>
    <row r="5" spans="1:51" ht="24" customHeight="1">
      <c r="A5" s="11"/>
      <c r="B5" s="11"/>
      <c r="C5" s="11"/>
      <c r="D5" s="11"/>
      <c r="E5" s="11"/>
      <c r="F5" s="11"/>
      <c r="G5" s="11"/>
      <c r="H5" s="11" t="str">
        <f>IF(AND(ROW()-1&lt;=教室申込!$K$5,教室申込!$K$7=0,COUNTA(教室申込!$C$4)=1),INDEX(展開用!$C$2:$C$601,MATCH(ROW()-1,展開用!$E$2:$E$601,0)),"")</f>
        <v/>
      </c>
      <c r="I5" s="11" t="str">
        <f>IF(AND(ROW()-1&lt;=教室申込!$K$5,教室申込!$K$7=0,COUNTA(教室申込!$C$4)=1),INDEX(展開用!$D$2:$D$601,MATCH(ROW()-1,展開用!$E$2:$E$601,0)),"")</f>
        <v/>
      </c>
      <c r="J5" s="11"/>
      <c r="K5" s="11"/>
      <c r="L5" s="11" t="str">
        <f>IF(AND(ROW()-1&lt;=教室申込!$K$5,教室申込!$K$7=0,COUNTA(教室申込!$C$4)=1),INDEX(教室申込!$B$1:$B$212,$AW5),"")</f>
        <v/>
      </c>
      <c r="M5" s="11" t="str">
        <f>IF(AND(ROW()-1&lt;=教室申込!$K$5,教室申込!$K$7=0,COUNTA(教室申込!$C$4)=1),INDEX(教室申込!$C$1:$C$212,$AW5),"")</f>
        <v/>
      </c>
      <c r="N5" s="11"/>
      <c r="O5" s="12" t="str">
        <f>IF(AND(ROW()-1&lt;=教室申込!$K$5,教室申込!$K$7=0,COUNTA(教室申込!$C$4)=1),INDEX(展開用!$G$2:$G$601,MATCH(ROW()-1,展開用!$E$2:$E$601,0)),"")</f>
        <v/>
      </c>
      <c r="P5" s="11"/>
      <c r="Q5" s="11"/>
      <c r="R5" s="11"/>
      <c r="S5" s="11"/>
      <c r="T5" s="11"/>
      <c r="U5" s="11" t="str">
        <f>IF(AND(ROW()-1&lt;=教室申込!$K$5,教室申込!$K$7=0,COUNTA(教室申込!$C$4)=1),INDEX(展開用!$F$2:$F$601,MATCH(ROW()-1,展開用!$E$2:$E$601,0)),"")</f>
        <v/>
      </c>
      <c r="V5" s="11"/>
      <c r="W5" s="11"/>
      <c r="X5" s="11"/>
      <c r="Y5" s="11"/>
      <c r="Z5" s="11"/>
      <c r="AA5" s="11" t="str">
        <f>IF($AW5="","",IF(INDEX(教室申込!$J$1:$J$212,$AW5)="","",INDEX(教室申込!$J$1:$J$212,$AW5)))</f>
        <v/>
      </c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" t="str">
        <f>IF(AND(ROW()-1&lt;=教室申込!$K$5,教室申込!$K$7=0,COUNTA(教室申込!$C$4)=1),INDEX(展開用!$B$2:$B$601,MATCH(ROW()-1,展開用!$E$2:$E$601,0)),"")</f>
        <v/>
      </c>
      <c r="AX5" s="1" t="s">
        <v>94</v>
      </c>
      <c r="AY5" s="1"/>
    </row>
    <row r="6" spans="1:51" ht="24" customHeight="1">
      <c r="A6" s="11"/>
      <c r="B6" s="11"/>
      <c r="C6" s="11"/>
      <c r="D6" s="11"/>
      <c r="E6" s="11"/>
      <c r="F6" s="11"/>
      <c r="G6" s="11"/>
      <c r="H6" s="11" t="str">
        <f>IF(AND(ROW()-1&lt;=教室申込!$K$5,教室申込!$K$7=0,COUNTA(教室申込!$C$4)=1),INDEX(展開用!$C$2:$C$601,MATCH(ROW()-1,展開用!$E$2:$E$601,0)),"")</f>
        <v/>
      </c>
      <c r="I6" s="11" t="str">
        <f>IF(AND(ROW()-1&lt;=教室申込!$K$5,教室申込!$K$7=0,COUNTA(教室申込!$C$4)=1),INDEX(展開用!$D$2:$D$601,MATCH(ROW()-1,展開用!$E$2:$E$601,0)),"")</f>
        <v/>
      </c>
      <c r="J6" s="11"/>
      <c r="K6" s="11"/>
      <c r="L6" s="11" t="str">
        <f>IF(AND(ROW()-1&lt;=教室申込!$K$5,教室申込!$K$7=0,COUNTA(教室申込!$C$4)=1),INDEX(教室申込!$B$1:$B$212,$AW6),"")</f>
        <v/>
      </c>
      <c r="M6" s="11" t="str">
        <f>IF(AND(ROW()-1&lt;=教室申込!$K$5,教室申込!$K$7=0,COUNTA(教室申込!$C$4)=1),INDEX(教室申込!$C$1:$C$212,$AW6),"")</f>
        <v/>
      </c>
      <c r="N6" s="11"/>
      <c r="O6" s="12" t="str">
        <f>IF(AND(ROW()-1&lt;=教室申込!$K$5,教室申込!$K$7=0,COUNTA(教室申込!$C$4)=1),INDEX(展開用!$G$2:$G$601,MATCH(ROW()-1,展開用!$E$2:$E$601,0)),"")</f>
        <v/>
      </c>
      <c r="P6" s="11"/>
      <c r="Q6" s="11"/>
      <c r="R6" s="11"/>
      <c r="S6" s="11"/>
      <c r="T6" s="11"/>
      <c r="U6" s="11" t="str">
        <f>IF(AND(ROW()-1&lt;=教室申込!$K$5,教室申込!$K$7=0,COUNTA(教室申込!$C$4)=1),INDEX(展開用!$F$2:$F$601,MATCH(ROW()-1,展開用!$E$2:$E$601,0)),"")</f>
        <v/>
      </c>
      <c r="V6" s="11"/>
      <c r="W6" s="11"/>
      <c r="X6" s="11"/>
      <c r="Y6" s="11"/>
      <c r="Z6" s="11"/>
      <c r="AA6" s="11" t="str">
        <f>IF($AW6="","",IF(INDEX(教室申込!$J$1:$J$212,$AW6)="","",INDEX(教室申込!$J$1:$J$212,$AW6)))</f>
        <v/>
      </c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" t="str">
        <f>IF(AND(ROW()-1&lt;=教室申込!$K$5,教室申込!$K$7=0,COUNTA(教室申込!$C$4)=1),INDEX(展開用!$B$2:$B$601,MATCH(ROW()-1,展開用!$E$2:$E$601,0)),"")</f>
        <v/>
      </c>
      <c r="AX6" s="1" t="s">
        <v>95</v>
      </c>
      <c r="AY6" s="1"/>
    </row>
    <row r="7" spans="1:51" ht="24" customHeight="1">
      <c r="A7" s="11"/>
      <c r="B7" s="11"/>
      <c r="C7" s="11"/>
      <c r="D7" s="11"/>
      <c r="E7" s="11"/>
      <c r="F7" s="11"/>
      <c r="G7" s="11"/>
      <c r="H7" s="11" t="str">
        <f>IF(AND(ROW()-1&lt;=教室申込!$K$5,教室申込!$K$7=0,COUNTA(教室申込!$C$4)=1),INDEX(展開用!$C$2:$C$601,MATCH(ROW()-1,展開用!$E$2:$E$601,0)),"")</f>
        <v/>
      </c>
      <c r="I7" s="11" t="str">
        <f>IF(AND(ROW()-1&lt;=教室申込!$K$5,教室申込!$K$7=0,COUNTA(教室申込!$C$4)=1),INDEX(展開用!$D$2:$D$601,MATCH(ROW()-1,展開用!$E$2:$E$601,0)),"")</f>
        <v/>
      </c>
      <c r="J7" s="11"/>
      <c r="K7" s="11"/>
      <c r="L7" s="11" t="str">
        <f>IF(AND(ROW()-1&lt;=教室申込!$K$5,教室申込!$K$7=0,COUNTA(教室申込!$C$4)=1),INDEX(教室申込!$B$1:$B$212,$AW7),"")</f>
        <v/>
      </c>
      <c r="M7" s="11" t="str">
        <f>IF(AND(ROW()-1&lt;=教室申込!$K$5,教室申込!$K$7=0,COUNTA(教室申込!$C$4)=1),INDEX(教室申込!$C$1:$C$212,$AW7),"")</f>
        <v/>
      </c>
      <c r="N7" s="11"/>
      <c r="O7" s="12" t="str">
        <f>IF(AND(ROW()-1&lt;=教室申込!$K$5,教室申込!$K$7=0,COUNTA(教室申込!$C$4)=1),INDEX(展開用!$G$2:$G$601,MATCH(ROW()-1,展開用!$E$2:$E$601,0)),"")</f>
        <v/>
      </c>
      <c r="P7" s="11"/>
      <c r="Q7" s="11"/>
      <c r="R7" s="11"/>
      <c r="S7" s="11"/>
      <c r="T7" s="11"/>
      <c r="U7" s="11" t="str">
        <f>IF(AND(ROW()-1&lt;=教室申込!$K$5,教室申込!$K$7=0,COUNTA(教室申込!$C$4)=1),INDEX(展開用!$F$2:$F$601,MATCH(ROW()-1,展開用!$E$2:$E$601,0)),"")</f>
        <v/>
      </c>
      <c r="V7" s="11"/>
      <c r="W7" s="11"/>
      <c r="X7" s="11"/>
      <c r="Y7" s="11"/>
      <c r="Z7" s="11"/>
      <c r="AA7" s="11" t="str">
        <f>IF($AW7="","",IF(INDEX(教室申込!$J$1:$J$212,$AW7)="","",INDEX(教室申込!$J$1:$J$212,$AW7)))</f>
        <v/>
      </c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" t="str">
        <f>IF(AND(ROW()-1&lt;=教室申込!$K$5,教室申込!$K$7=0,COUNTA(教室申込!$C$4)=1),INDEX(展開用!$B$2:$B$601,MATCH(ROW()-1,展開用!$E$2:$E$601,0)),"")</f>
        <v/>
      </c>
      <c r="AX7" s="1"/>
      <c r="AY7" s="1"/>
    </row>
    <row r="8" spans="1:51" ht="24" customHeight="1">
      <c r="A8" s="11"/>
      <c r="B8" s="11"/>
      <c r="C8" s="11"/>
      <c r="D8" s="11"/>
      <c r="E8" s="11"/>
      <c r="F8" s="11"/>
      <c r="G8" s="11"/>
      <c r="H8" s="11" t="str">
        <f>IF(AND(ROW()-1&lt;=教室申込!$K$5,教室申込!$K$7=0,COUNTA(教室申込!$C$4)=1),INDEX(展開用!$C$2:$C$601,MATCH(ROW()-1,展開用!$E$2:$E$601,0)),"")</f>
        <v/>
      </c>
      <c r="I8" s="11" t="str">
        <f>IF(AND(ROW()-1&lt;=教室申込!$K$5,教室申込!$K$7=0,COUNTA(教室申込!$C$4)=1),INDEX(展開用!$D$2:$D$601,MATCH(ROW()-1,展開用!$E$2:$E$601,0)),"")</f>
        <v/>
      </c>
      <c r="J8" s="11"/>
      <c r="K8" s="11"/>
      <c r="L8" s="11" t="str">
        <f>IF(AND(ROW()-1&lt;=教室申込!$K$5,教室申込!$K$7=0,COUNTA(教室申込!$C$4)=1),INDEX(教室申込!$B$1:$B$212,$AW8),"")</f>
        <v/>
      </c>
      <c r="M8" s="11" t="str">
        <f>IF(AND(ROW()-1&lt;=教室申込!$K$5,教室申込!$K$7=0,COUNTA(教室申込!$C$4)=1),INDEX(教室申込!$C$1:$C$212,$AW8),"")</f>
        <v/>
      </c>
      <c r="N8" s="11"/>
      <c r="O8" s="12" t="str">
        <f>IF(AND(ROW()-1&lt;=教室申込!$K$5,教室申込!$K$7=0,COUNTA(教室申込!$C$4)=1),INDEX(展開用!$G$2:$G$601,MATCH(ROW()-1,展開用!$E$2:$E$601,0)),"")</f>
        <v/>
      </c>
      <c r="P8" s="11"/>
      <c r="Q8" s="11"/>
      <c r="R8" s="11"/>
      <c r="S8" s="11"/>
      <c r="T8" s="11"/>
      <c r="U8" s="11" t="str">
        <f>IF(AND(ROW()-1&lt;=教室申込!$K$5,教室申込!$K$7=0,COUNTA(教室申込!$C$4)=1),INDEX(展開用!$F$2:$F$601,MATCH(ROW()-1,展開用!$E$2:$E$601,0)),"")</f>
        <v/>
      </c>
      <c r="V8" s="11"/>
      <c r="W8" s="11"/>
      <c r="X8" s="11"/>
      <c r="Y8" s="11"/>
      <c r="Z8" s="11"/>
      <c r="AA8" s="11" t="str">
        <f>IF($AW8="","",IF(INDEX(教室申込!$J$1:$J$212,$AW8)="","",INDEX(教室申込!$J$1:$J$212,$AW8)))</f>
        <v/>
      </c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" t="str">
        <f>IF(AND(ROW()-1&lt;=教室申込!$K$5,教室申込!$K$7=0,COUNTA(教室申込!$C$4)=1),INDEX(展開用!$B$2:$B$601,MATCH(ROW()-1,展開用!$E$2:$E$601,0)),"")</f>
        <v/>
      </c>
      <c r="AX8" s="1"/>
      <c r="AY8" s="1"/>
    </row>
    <row r="9" spans="1:51" ht="24" customHeight="1">
      <c r="A9" s="11"/>
      <c r="B9" s="11"/>
      <c r="C9" s="11"/>
      <c r="D9" s="11"/>
      <c r="E9" s="11"/>
      <c r="F9" s="11"/>
      <c r="G9" s="11"/>
      <c r="H9" s="11" t="str">
        <f>IF(AND(ROW()-1&lt;=教室申込!$K$5,教室申込!$K$7=0,COUNTA(教室申込!$C$4)=1),INDEX(展開用!$C$2:$C$601,MATCH(ROW()-1,展開用!$E$2:$E$601,0)),"")</f>
        <v/>
      </c>
      <c r="I9" s="11" t="str">
        <f>IF(AND(ROW()-1&lt;=教室申込!$K$5,教室申込!$K$7=0,COUNTA(教室申込!$C$4)=1),INDEX(展開用!$D$2:$D$601,MATCH(ROW()-1,展開用!$E$2:$E$601,0)),"")</f>
        <v/>
      </c>
      <c r="J9" s="11"/>
      <c r="K9" s="11"/>
      <c r="L9" s="11" t="str">
        <f>IF(AND(ROW()-1&lt;=教室申込!$K$5,教室申込!$K$7=0,COUNTA(教室申込!$C$4)=1),INDEX(教室申込!$B$1:$B$212,$AW9),"")</f>
        <v/>
      </c>
      <c r="M9" s="11" t="str">
        <f>IF(AND(ROW()-1&lt;=教室申込!$K$5,教室申込!$K$7=0,COUNTA(教室申込!$C$4)=1),INDEX(教室申込!$C$1:$C$212,$AW9),"")</f>
        <v/>
      </c>
      <c r="N9" s="11"/>
      <c r="O9" s="12" t="str">
        <f>IF(AND(ROW()-1&lt;=教室申込!$K$5,教室申込!$K$7=0,COUNTA(教室申込!$C$4)=1),INDEX(展開用!$G$2:$G$601,MATCH(ROW()-1,展開用!$E$2:$E$601,0)),"")</f>
        <v/>
      </c>
      <c r="P9" s="11"/>
      <c r="Q9" s="11"/>
      <c r="R9" s="11"/>
      <c r="S9" s="11"/>
      <c r="T9" s="11"/>
      <c r="U9" s="11" t="str">
        <f>IF(AND(ROW()-1&lt;=教室申込!$K$5,教室申込!$K$7=0,COUNTA(教室申込!$C$4)=1),INDEX(展開用!$F$2:$F$601,MATCH(ROW()-1,展開用!$E$2:$E$601,0)),"")</f>
        <v/>
      </c>
      <c r="V9" s="11"/>
      <c r="W9" s="11"/>
      <c r="X9" s="11"/>
      <c r="Y9" s="11"/>
      <c r="Z9" s="11"/>
      <c r="AA9" s="11" t="str">
        <f>IF($AW9="","",IF(INDEX(教室申込!$J$1:$J$212,$AW9)="","",INDEX(教室申込!$J$1:$J$212,$AW9)))</f>
        <v/>
      </c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" t="str">
        <f>IF(AND(ROW()-1&lt;=教室申込!$K$5,教室申込!$K$7=0,COUNTA(教室申込!$C$4)=1),INDEX(展開用!$B$2:$B$601,MATCH(ROW()-1,展開用!$E$2:$E$601,0)),"")</f>
        <v/>
      </c>
      <c r="AX9" s="1"/>
      <c r="AY9" s="1"/>
    </row>
    <row r="10" spans="1:51" ht="24" customHeight="1">
      <c r="A10" s="11"/>
      <c r="B10" s="11"/>
      <c r="C10" s="11"/>
      <c r="D10" s="11"/>
      <c r="E10" s="11"/>
      <c r="F10" s="11"/>
      <c r="G10" s="11"/>
      <c r="H10" s="11" t="str">
        <f>IF(AND(ROW()-1&lt;=教室申込!$K$5,教室申込!$K$7=0,COUNTA(教室申込!$C$4)=1),INDEX(展開用!$C$2:$C$601,MATCH(ROW()-1,展開用!$E$2:$E$601,0)),"")</f>
        <v/>
      </c>
      <c r="I10" s="11" t="str">
        <f>IF(AND(ROW()-1&lt;=教室申込!$K$5,教室申込!$K$7=0,COUNTA(教室申込!$C$4)=1),INDEX(展開用!$D$2:$D$601,MATCH(ROW()-1,展開用!$E$2:$E$601,0)),"")</f>
        <v/>
      </c>
      <c r="J10" s="11"/>
      <c r="K10" s="11"/>
      <c r="L10" s="11" t="str">
        <f>IF(AND(ROW()-1&lt;=教室申込!$K$5,教室申込!$K$7=0,COUNTA(教室申込!$C$4)=1),INDEX(教室申込!$B$1:$B$212,$AW10),"")</f>
        <v/>
      </c>
      <c r="M10" s="11" t="str">
        <f>IF(AND(ROW()-1&lt;=教室申込!$K$5,教室申込!$K$7=0,COUNTA(教室申込!$C$4)=1),INDEX(教室申込!$C$1:$C$212,$AW10),"")</f>
        <v/>
      </c>
      <c r="N10" s="11"/>
      <c r="O10" s="12" t="str">
        <f>IF(AND(ROW()-1&lt;=教室申込!$K$5,教室申込!$K$7=0,COUNTA(教室申込!$C$4)=1),INDEX(展開用!$G$2:$G$601,MATCH(ROW()-1,展開用!$E$2:$E$601,0)),"")</f>
        <v/>
      </c>
      <c r="P10" s="11"/>
      <c r="Q10" s="11"/>
      <c r="R10" s="11"/>
      <c r="S10" s="11"/>
      <c r="T10" s="11"/>
      <c r="U10" s="11" t="str">
        <f>IF(AND(ROW()-1&lt;=教室申込!$K$5,教室申込!$K$7=0,COUNTA(教室申込!$C$4)=1),INDEX(展開用!$F$2:$F$601,MATCH(ROW()-1,展開用!$E$2:$E$601,0)),"")</f>
        <v/>
      </c>
      <c r="V10" s="11"/>
      <c r="W10" s="11"/>
      <c r="X10" s="11"/>
      <c r="Y10" s="11"/>
      <c r="Z10" s="11"/>
      <c r="AA10" s="11" t="str">
        <f>IF($AW10="","",IF(INDEX(教室申込!$J$1:$J$212,$AW10)="","",INDEX(教室申込!$J$1:$J$212,$AW10)))</f>
        <v/>
      </c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" t="str">
        <f>IF(AND(ROW()-1&lt;=教室申込!$K$5,教室申込!$K$7=0,COUNTA(教室申込!$C$4)=1),INDEX(展開用!$B$2:$B$601,MATCH(ROW()-1,展開用!$E$2:$E$601,0)),"")</f>
        <v/>
      </c>
      <c r="AX10" s="1" t="s">
        <v>96</v>
      </c>
      <c r="AY10" s="1" t="str">
        <f>IF(COUNTA(教室申込!$C$4)=0,"教室名を入力してください",IF(教室申込!K7&gt;0,"入力確認を解消してください",IF(教室申込!K5=0,"入力なし","A2:AV"&amp;(教室申込!K5+1))))</f>
        <v>教室名を入力してください</v>
      </c>
    </row>
    <row r="11" spans="1:51" ht="24" customHeight="1">
      <c r="A11" s="11"/>
      <c r="B11" s="11"/>
      <c r="C11" s="11"/>
      <c r="D11" s="11"/>
      <c r="E11" s="11"/>
      <c r="F11" s="11"/>
      <c r="G11" s="11"/>
      <c r="H11" s="11" t="str">
        <f>IF(AND(ROW()-1&lt;=教室申込!$K$5,教室申込!$K$7=0,COUNTA(教室申込!$C$4)=1),INDEX(展開用!$C$2:$C$601,MATCH(ROW()-1,展開用!$E$2:$E$601,0)),"")</f>
        <v/>
      </c>
      <c r="I11" s="11" t="str">
        <f>IF(AND(ROW()-1&lt;=教室申込!$K$5,教室申込!$K$7=0,COUNTA(教室申込!$C$4)=1),INDEX(展開用!$D$2:$D$601,MATCH(ROW()-1,展開用!$E$2:$E$601,0)),"")</f>
        <v/>
      </c>
      <c r="J11" s="11"/>
      <c r="K11" s="11"/>
      <c r="L11" s="11" t="str">
        <f>IF(AND(ROW()-1&lt;=教室申込!$K$5,教室申込!$K$7=0,COUNTA(教室申込!$C$4)=1),INDEX(教室申込!$B$1:$B$212,$AW11),"")</f>
        <v/>
      </c>
      <c r="M11" s="11" t="str">
        <f>IF(AND(ROW()-1&lt;=教室申込!$K$5,教室申込!$K$7=0,COUNTA(教室申込!$C$4)=1),INDEX(教室申込!$C$1:$C$212,$AW11),"")</f>
        <v/>
      </c>
      <c r="N11" s="11"/>
      <c r="O11" s="12" t="str">
        <f>IF(AND(ROW()-1&lt;=教室申込!$K$5,教室申込!$K$7=0,COUNTA(教室申込!$C$4)=1),INDEX(展開用!$G$2:$G$601,MATCH(ROW()-1,展開用!$E$2:$E$601,0)),"")</f>
        <v/>
      </c>
      <c r="P11" s="11"/>
      <c r="Q11" s="11"/>
      <c r="R11" s="11"/>
      <c r="S11" s="11"/>
      <c r="T11" s="11"/>
      <c r="U11" s="11" t="str">
        <f>IF(AND(ROW()-1&lt;=教室申込!$K$5,教室申込!$K$7=0,COUNTA(教室申込!$C$4)=1),INDEX(展開用!$F$2:$F$601,MATCH(ROW()-1,展開用!$E$2:$E$601,0)),"")</f>
        <v/>
      </c>
      <c r="V11" s="11"/>
      <c r="W11" s="11"/>
      <c r="X11" s="11"/>
      <c r="Y11" s="11"/>
      <c r="Z11" s="11"/>
      <c r="AA11" s="11" t="str">
        <f>IF($AW11="","",IF(INDEX(教室申込!$J$1:$J$212,$AW11)="","",INDEX(教室申込!$J$1:$J$212,$AW11)))</f>
        <v/>
      </c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" t="str">
        <f>IF(AND(ROW()-1&lt;=教室申込!$K$5,教室申込!$K$7=0,COUNTA(教室申込!$C$4)=1),INDEX(展開用!$B$2:$B$601,MATCH(ROW()-1,展開用!$E$2:$E$601,0)),"")</f>
        <v/>
      </c>
      <c r="AX11" s="1" t="s">
        <v>8</v>
      </c>
      <c r="AY11" s="1">
        <f>教室申込!K5</f>
        <v>0</v>
      </c>
    </row>
    <row r="12" spans="1:51" ht="24" customHeight="1">
      <c r="A12" s="11"/>
      <c r="B12" s="11"/>
      <c r="C12" s="11"/>
      <c r="D12" s="11"/>
      <c r="E12" s="11"/>
      <c r="F12" s="11"/>
      <c r="G12" s="11"/>
      <c r="H12" s="11" t="str">
        <f>IF(AND(ROW()-1&lt;=教室申込!$K$5,教室申込!$K$7=0,COUNTA(教室申込!$C$4)=1),INDEX(展開用!$C$2:$C$601,MATCH(ROW()-1,展開用!$E$2:$E$601,0)),"")</f>
        <v/>
      </c>
      <c r="I12" s="11" t="str">
        <f>IF(AND(ROW()-1&lt;=教室申込!$K$5,教室申込!$K$7=0,COUNTA(教室申込!$C$4)=1),INDEX(展開用!$D$2:$D$601,MATCH(ROW()-1,展開用!$E$2:$E$601,0)),"")</f>
        <v/>
      </c>
      <c r="J12" s="11"/>
      <c r="K12" s="11"/>
      <c r="L12" s="11" t="str">
        <f>IF(AND(ROW()-1&lt;=教室申込!$K$5,教室申込!$K$7=0,COUNTA(教室申込!$C$4)=1),INDEX(教室申込!$B$1:$B$212,$AW12),"")</f>
        <v/>
      </c>
      <c r="M12" s="11" t="str">
        <f>IF(AND(ROW()-1&lt;=教室申込!$K$5,教室申込!$K$7=0,COUNTA(教室申込!$C$4)=1),INDEX(教室申込!$C$1:$C$212,$AW12),"")</f>
        <v/>
      </c>
      <c r="N12" s="11"/>
      <c r="O12" s="12" t="str">
        <f>IF(AND(ROW()-1&lt;=教室申込!$K$5,教室申込!$K$7=0,COUNTA(教室申込!$C$4)=1),INDEX(展開用!$G$2:$G$601,MATCH(ROW()-1,展開用!$E$2:$E$601,0)),"")</f>
        <v/>
      </c>
      <c r="P12" s="11"/>
      <c r="Q12" s="11"/>
      <c r="R12" s="11"/>
      <c r="S12" s="11"/>
      <c r="T12" s="11"/>
      <c r="U12" s="11" t="str">
        <f>IF(AND(ROW()-1&lt;=教室申込!$K$5,教室申込!$K$7=0,COUNTA(教室申込!$C$4)=1),INDEX(展開用!$F$2:$F$601,MATCH(ROW()-1,展開用!$E$2:$E$601,0)),"")</f>
        <v/>
      </c>
      <c r="V12" s="11"/>
      <c r="W12" s="11"/>
      <c r="X12" s="11"/>
      <c r="Y12" s="11"/>
      <c r="Z12" s="11"/>
      <c r="AA12" s="11" t="str">
        <f>IF($AW12="","",IF(INDEX(教室申込!$J$1:$J$212,$AW12)="","",INDEX(教室申込!$J$1:$J$212,$AW12)))</f>
        <v/>
      </c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" t="str">
        <f>IF(AND(ROW()-1&lt;=教室申込!$K$5,教室申込!$K$7=0,COUNTA(教室申込!$C$4)=1),INDEX(展開用!$B$2:$B$601,MATCH(ROW()-1,展開用!$E$2:$E$601,0)),"")</f>
        <v/>
      </c>
      <c r="AX12" s="1"/>
      <c r="AY12" s="1"/>
    </row>
    <row r="13" spans="1:51" ht="24" customHeight="1">
      <c r="A13" s="11"/>
      <c r="B13" s="11"/>
      <c r="C13" s="11"/>
      <c r="D13" s="11"/>
      <c r="E13" s="11"/>
      <c r="F13" s="11"/>
      <c r="G13" s="11"/>
      <c r="H13" s="11" t="str">
        <f>IF(AND(ROW()-1&lt;=教室申込!$K$5,教室申込!$K$7=0,COUNTA(教室申込!$C$4)=1),INDEX(展開用!$C$2:$C$601,MATCH(ROW()-1,展開用!$E$2:$E$601,0)),"")</f>
        <v/>
      </c>
      <c r="I13" s="11" t="str">
        <f>IF(AND(ROW()-1&lt;=教室申込!$K$5,教室申込!$K$7=0,COUNTA(教室申込!$C$4)=1),INDEX(展開用!$D$2:$D$601,MATCH(ROW()-1,展開用!$E$2:$E$601,0)),"")</f>
        <v/>
      </c>
      <c r="J13" s="11"/>
      <c r="K13" s="11"/>
      <c r="L13" s="11" t="str">
        <f>IF(AND(ROW()-1&lt;=教室申込!$K$5,教室申込!$K$7=0,COUNTA(教室申込!$C$4)=1),INDEX(教室申込!$B$1:$B$212,$AW13),"")</f>
        <v/>
      </c>
      <c r="M13" s="11" t="str">
        <f>IF(AND(ROW()-1&lt;=教室申込!$K$5,教室申込!$K$7=0,COUNTA(教室申込!$C$4)=1),INDEX(教室申込!$C$1:$C$212,$AW13),"")</f>
        <v/>
      </c>
      <c r="N13" s="11"/>
      <c r="O13" s="12" t="str">
        <f>IF(AND(ROW()-1&lt;=教室申込!$K$5,教室申込!$K$7=0,COUNTA(教室申込!$C$4)=1),INDEX(展開用!$G$2:$G$601,MATCH(ROW()-1,展開用!$E$2:$E$601,0)),"")</f>
        <v/>
      </c>
      <c r="P13" s="11"/>
      <c r="Q13" s="11"/>
      <c r="R13" s="11"/>
      <c r="S13" s="11"/>
      <c r="T13" s="11"/>
      <c r="U13" s="11" t="str">
        <f>IF(AND(ROW()-1&lt;=教室申込!$K$5,教室申込!$K$7=0,COUNTA(教室申込!$C$4)=1),INDEX(展開用!$F$2:$F$601,MATCH(ROW()-1,展開用!$E$2:$E$601,0)),"")</f>
        <v/>
      </c>
      <c r="V13" s="11"/>
      <c r="W13" s="11"/>
      <c r="X13" s="11"/>
      <c r="Y13" s="11"/>
      <c r="Z13" s="11"/>
      <c r="AA13" s="11" t="str">
        <f>IF($AW13="","",IF(INDEX(教室申込!$J$1:$J$212,$AW13)="","",INDEX(教室申込!$J$1:$J$212,$AW13)))</f>
        <v/>
      </c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" t="str">
        <f>IF(AND(ROW()-1&lt;=教室申込!$K$5,教室申込!$K$7=0,COUNTA(教室申込!$C$4)=1),INDEX(展開用!$B$2:$B$601,MATCH(ROW()-1,展開用!$E$2:$E$601,0)),"")</f>
        <v/>
      </c>
      <c r="AX13" s="1"/>
      <c r="AY13" s="1"/>
    </row>
    <row r="14" spans="1:51" ht="24" customHeight="1">
      <c r="A14" s="11"/>
      <c r="B14" s="11"/>
      <c r="C14" s="11"/>
      <c r="D14" s="11"/>
      <c r="E14" s="11"/>
      <c r="F14" s="11"/>
      <c r="G14" s="11"/>
      <c r="H14" s="11" t="str">
        <f>IF(AND(ROW()-1&lt;=教室申込!$K$5,教室申込!$K$7=0,COUNTA(教室申込!$C$4)=1),INDEX(展開用!$C$2:$C$601,MATCH(ROW()-1,展開用!$E$2:$E$601,0)),"")</f>
        <v/>
      </c>
      <c r="I14" s="11" t="str">
        <f>IF(AND(ROW()-1&lt;=教室申込!$K$5,教室申込!$K$7=0,COUNTA(教室申込!$C$4)=1),INDEX(展開用!$D$2:$D$601,MATCH(ROW()-1,展開用!$E$2:$E$601,0)),"")</f>
        <v/>
      </c>
      <c r="J14" s="11"/>
      <c r="K14" s="11"/>
      <c r="L14" s="11" t="str">
        <f>IF(AND(ROW()-1&lt;=教室申込!$K$5,教室申込!$K$7=0,COUNTA(教室申込!$C$4)=1),INDEX(教室申込!$B$1:$B$212,$AW14),"")</f>
        <v/>
      </c>
      <c r="M14" s="11" t="str">
        <f>IF(AND(ROW()-1&lt;=教室申込!$K$5,教室申込!$K$7=0,COUNTA(教室申込!$C$4)=1),INDEX(教室申込!$C$1:$C$212,$AW14),"")</f>
        <v/>
      </c>
      <c r="N14" s="11"/>
      <c r="O14" s="12" t="str">
        <f>IF(AND(ROW()-1&lt;=教室申込!$K$5,教室申込!$K$7=0,COUNTA(教室申込!$C$4)=1),INDEX(展開用!$G$2:$G$601,MATCH(ROW()-1,展開用!$E$2:$E$601,0)),"")</f>
        <v/>
      </c>
      <c r="P14" s="11"/>
      <c r="Q14" s="11"/>
      <c r="R14" s="11"/>
      <c r="S14" s="11"/>
      <c r="T14" s="11"/>
      <c r="U14" s="11" t="str">
        <f>IF(AND(ROW()-1&lt;=教室申込!$K$5,教室申込!$K$7=0,COUNTA(教室申込!$C$4)=1),INDEX(展開用!$F$2:$F$601,MATCH(ROW()-1,展開用!$E$2:$E$601,0)),"")</f>
        <v/>
      </c>
      <c r="V14" s="11"/>
      <c r="W14" s="11"/>
      <c r="X14" s="11"/>
      <c r="Y14" s="11"/>
      <c r="Z14" s="11"/>
      <c r="AA14" s="11" t="str">
        <f>IF($AW14="","",IF(INDEX(教室申込!$J$1:$J$212,$AW14)="","",INDEX(教室申込!$J$1:$J$212,$AW14)))</f>
        <v/>
      </c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" t="str">
        <f>IF(AND(ROW()-1&lt;=教室申込!$K$5,教室申込!$K$7=0,COUNTA(教室申込!$C$4)=1),INDEX(展開用!$B$2:$B$601,MATCH(ROW()-1,展開用!$E$2:$E$601,0)),"")</f>
        <v/>
      </c>
      <c r="AX14" s="1"/>
      <c r="AY14" s="1"/>
    </row>
    <row r="15" spans="1:51" ht="24" customHeight="1">
      <c r="A15" s="11"/>
      <c r="B15" s="11"/>
      <c r="C15" s="11"/>
      <c r="D15" s="11"/>
      <c r="E15" s="11"/>
      <c r="F15" s="11"/>
      <c r="G15" s="11"/>
      <c r="H15" s="11" t="str">
        <f>IF(AND(ROW()-1&lt;=教室申込!$K$5,教室申込!$K$7=0,COUNTA(教室申込!$C$4)=1),INDEX(展開用!$C$2:$C$601,MATCH(ROW()-1,展開用!$E$2:$E$601,0)),"")</f>
        <v/>
      </c>
      <c r="I15" s="11" t="str">
        <f>IF(AND(ROW()-1&lt;=教室申込!$K$5,教室申込!$K$7=0,COUNTA(教室申込!$C$4)=1),INDEX(展開用!$D$2:$D$601,MATCH(ROW()-1,展開用!$E$2:$E$601,0)),"")</f>
        <v/>
      </c>
      <c r="J15" s="11"/>
      <c r="K15" s="11"/>
      <c r="L15" s="11" t="str">
        <f>IF(AND(ROW()-1&lt;=教室申込!$K$5,教室申込!$K$7=0,COUNTA(教室申込!$C$4)=1),INDEX(教室申込!$B$1:$B$212,$AW15),"")</f>
        <v/>
      </c>
      <c r="M15" s="11" t="str">
        <f>IF(AND(ROW()-1&lt;=教室申込!$K$5,教室申込!$K$7=0,COUNTA(教室申込!$C$4)=1),INDEX(教室申込!$C$1:$C$212,$AW15),"")</f>
        <v/>
      </c>
      <c r="N15" s="11"/>
      <c r="O15" s="12" t="str">
        <f>IF(AND(ROW()-1&lt;=教室申込!$K$5,教室申込!$K$7=0,COUNTA(教室申込!$C$4)=1),INDEX(展開用!$G$2:$G$601,MATCH(ROW()-1,展開用!$E$2:$E$601,0)),"")</f>
        <v/>
      </c>
      <c r="P15" s="11"/>
      <c r="Q15" s="11"/>
      <c r="R15" s="11"/>
      <c r="S15" s="11"/>
      <c r="T15" s="11"/>
      <c r="U15" s="11" t="str">
        <f>IF(AND(ROW()-1&lt;=教室申込!$K$5,教室申込!$K$7=0,COUNTA(教室申込!$C$4)=1),INDEX(展開用!$F$2:$F$601,MATCH(ROW()-1,展開用!$E$2:$E$601,0)),"")</f>
        <v/>
      </c>
      <c r="V15" s="11"/>
      <c r="W15" s="11"/>
      <c r="X15" s="11"/>
      <c r="Y15" s="11"/>
      <c r="Z15" s="11"/>
      <c r="AA15" s="11" t="str">
        <f>IF($AW15="","",IF(INDEX(教室申込!$J$1:$J$212,$AW15)="","",INDEX(教室申込!$J$1:$J$212,$AW15)))</f>
        <v/>
      </c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" t="str">
        <f>IF(AND(ROW()-1&lt;=教室申込!$K$5,教室申込!$K$7=0,COUNTA(教室申込!$C$4)=1),INDEX(展開用!$B$2:$B$601,MATCH(ROW()-1,展開用!$E$2:$E$601,0)),"")</f>
        <v/>
      </c>
      <c r="AX15" s="1"/>
      <c r="AY15" s="1"/>
    </row>
    <row r="16" spans="1:51" ht="24" customHeight="1">
      <c r="A16" s="11"/>
      <c r="B16" s="11"/>
      <c r="C16" s="11"/>
      <c r="D16" s="11"/>
      <c r="E16" s="11"/>
      <c r="F16" s="11"/>
      <c r="G16" s="11"/>
      <c r="H16" s="11" t="str">
        <f>IF(AND(ROW()-1&lt;=教室申込!$K$5,教室申込!$K$7=0,COUNTA(教室申込!$C$4)=1),INDEX(展開用!$C$2:$C$601,MATCH(ROW()-1,展開用!$E$2:$E$601,0)),"")</f>
        <v/>
      </c>
      <c r="I16" s="11" t="str">
        <f>IF(AND(ROW()-1&lt;=教室申込!$K$5,教室申込!$K$7=0,COUNTA(教室申込!$C$4)=1),INDEX(展開用!$D$2:$D$601,MATCH(ROW()-1,展開用!$E$2:$E$601,0)),"")</f>
        <v/>
      </c>
      <c r="J16" s="11"/>
      <c r="K16" s="11"/>
      <c r="L16" s="11" t="str">
        <f>IF(AND(ROW()-1&lt;=教室申込!$K$5,教室申込!$K$7=0,COUNTA(教室申込!$C$4)=1),INDEX(教室申込!$B$1:$B$212,$AW16),"")</f>
        <v/>
      </c>
      <c r="M16" s="11" t="str">
        <f>IF(AND(ROW()-1&lt;=教室申込!$K$5,教室申込!$K$7=0,COUNTA(教室申込!$C$4)=1),INDEX(教室申込!$C$1:$C$212,$AW16),"")</f>
        <v/>
      </c>
      <c r="N16" s="11"/>
      <c r="O16" s="12" t="str">
        <f>IF(AND(ROW()-1&lt;=教室申込!$K$5,教室申込!$K$7=0,COUNTA(教室申込!$C$4)=1),INDEX(展開用!$G$2:$G$601,MATCH(ROW()-1,展開用!$E$2:$E$601,0)),"")</f>
        <v/>
      </c>
      <c r="P16" s="11"/>
      <c r="Q16" s="11"/>
      <c r="R16" s="11"/>
      <c r="S16" s="11"/>
      <c r="T16" s="11"/>
      <c r="U16" s="11" t="str">
        <f>IF(AND(ROW()-1&lt;=教室申込!$K$5,教室申込!$K$7=0,COUNTA(教室申込!$C$4)=1),INDEX(展開用!$F$2:$F$601,MATCH(ROW()-1,展開用!$E$2:$E$601,0)),"")</f>
        <v/>
      </c>
      <c r="V16" s="11"/>
      <c r="W16" s="11"/>
      <c r="X16" s="11"/>
      <c r="Y16" s="11"/>
      <c r="Z16" s="11"/>
      <c r="AA16" s="11" t="str">
        <f>IF($AW16="","",IF(INDEX(教室申込!$J$1:$J$212,$AW16)="","",INDEX(教室申込!$J$1:$J$212,$AW16)))</f>
        <v/>
      </c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" t="str">
        <f>IF(AND(ROW()-1&lt;=教室申込!$K$5,教室申込!$K$7=0,COUNTA(教室申込!$C$4)=1),INDEX(展開用!$B$2:$B$601,MATCH(ROW()-1,展開用!$E$2:$E$601,0)),"")</f>
        <v/>
      </c>
      <c r="AX16" s="1"/>
      <c r="AY16" s="1"/>
    </row>
    <row r="17" spans="1:51" ht="24" customHeight="1">
      <c r="A17" s="11"/>
      <c r="B17" s="11"/>
      <c r="C17" s="11"/>
      <c r="D17" s="11"/>
      <c r="E17" s="11"/>
      <c r="F17" s="11"/>
      <c r="G17" s="11"/>
      <c r="H17" s="11" t="str">
        <f>IF(AND(ROW()-1&lt;=教室申込!$K$5,教室申込!$K$7=0,COUNTA(教室申込!$C$4)=1),INDEX(展開用!$C$2:$C$601,MATCH(ROW()-1,展開用!$E$2:$E$601,0)),"")</f>
        <v/>
      </c>
      <c r="I17" s="11" t="str">
        <f>IF(AND(ROW()-1&lt;=教室申込!$K$5,教室申込!$K$7=0,COUNTA(教室申込!$C$4)=1),INDEX(展開用!$D$2:$D$601,MATCH(ROW()-1,展開用!$E$2:$E$601,0)),"")</f>
        <v/>
      </c>
      <c r="J17" s="11"/>
      <c r="K17" s="11"/>
      <c r="L17" s="11" t="str">
        <f>IF(AND(ROW()-1&lt;=教室申込!$K$5,教室申込!$K$7=0,COUNTA(教室申込!$C$4)=1),INDEX(教室申込!$B$1:$B$212,$AW17),"")</f>
        <v/>
      </c>
      <c r="M17" s="11" t="str">
        <f>IF(AND(ROW()-1&lt;=教室申込!$K$5,教室申込!$K$7=0,COUNTA(教室申込!$C$4)=1),INDEX(教室申込!$C$1:$C$212,$AW17),"")</f>
        <v/>
      </c>
      <c r="N17" s="11"/>
      <c r="O17" s="12" t="str">
        <f>IF(AND(ROW()-1&lt;=教室申込!$K$5,教室申込!$K$7=0,COUNTA(教室申込!$C$4)=1),INDEX(展開用!$G$2:$G$601,MATCH(ROW()-1,展開用!$E$2:$E$601,0)),"")</f>
        <v/>
      </c>
      <c r="P17" s="11"/>
      <c r="Q17" s="11"/>
      <c r="R17" s="11"/>
      <c r="S17" s="11"/>
      <c r="T17" s="11"/>
      <c r="U17" s="11" t="str">
        <f>IF(AND(ROW()-1&lt;=教室申込!$K$5,教室申込!$K$7=0,COUNTA(教室申込!$C$4)=1),INDEX(展開用!$F$2:$F$601,MATCH(ROW()-1,展開用!$E$2:$E$601,0)),"")</f>
        <v/>
      </c>
      <c r="V17" s="11"/>
      <c r="W17" s="11"/>
      <c r="X17" s="11"/>
      <c r="Y17" s="11"/>
      <c r="Z17" s="11"/>
      <c r="AA17" s="11" t="str">
        <f>IF($AW17="","",IF(INDEX(教室申込!$J$1:$J$212,$AW17)="","",INDEX(教室申込!$J$1:$J$212,$AW17)))</f>
        <v/>
      </c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" t="str">
        <f>IF(AND(ROW()-1&lt;=教室申込!$K$5,教室申込!$K$7=0,COUNTA(教室申込!$C$4)=1),INDEX(展開用!$B$2:$B$601,MATCH(ROW()-1,展開用!$E$2:$E$601,0)),"")</f>
        <v/>
      </c>
      <c r="AX17" s="1"/>
      <c r="AY17" s="1"/>
    </row>
    <row r="18" spans="1:51" ht="24" customHeight="1">
      <c r="A18" s="11"/>
      <c r="B18" s="11"/>
      <c r="C18" s="11"/>
      <c r="D18" s="11"/>
      <c r="E18" s="11"/>
      <c r="F18" s="11"/>
      <c r="G18" s="11"/>
      <c r="H18" s="11" t="str">
        <f>IF(AND(ROW()-1&lt;=教室申込!$K$5,教室申込!$K$7=0,COUNTA(教室申込!$C$4)=1),INDEX(展開用!$C$2:$C$601,MATCH(ROW()-1,展開用!$E$2:$E$601,0)),"")</f>
        <v/>
      </c>
      <c r="I18" s="11" t="str">
        <f>IF(AND(ROW()-1&lt;=教室申込!$K$5,教室申込!$K$7=0,COUNTA(教室申込!$C$4)=1),INDEX(展開用!$D$2:$D$601,MATCH(ROW()-1,展開用!$E$2:$E$601,0)),"")</f>
        <v/>
      </c>
      <c r="J18" s="11"/>
      <c r="K18" s="11"/>
      <c r="L18" s="11" t="str">
        <f>IF(AND(ROW()-1&lt;=教室申込!$K$5,教室申込!$K$7=0,COUNTA(教室申込!$C$4)=1),INDEX(教室申込!$B$1:$B$212,$AW18),"")</f>
        <v/>
      </c>
      <c r="M18" s="11" t="str">
        <f>IF(AND(ROW()-1&lt;=教室申込!$K$5,教室申込!$K$7=0,COUNTA(教室申込!$C$4)=1),INDEX(教室申込!$C$1:$C$212,$AW18),"")</f>
        <v/>
      </c>
      <c r="N18" s="11"/>
      <c r="O18" s="12" t="str">
        <f>IF(AND(ROW()-1&lt;=教室申込!$K$5,教室申込!$K$7=0,COUNTA(教室申込!$C$4)=1),INDEX(展開用!$G$2:$G$601,MATCH(ROW()-1,展開用!$E$2:$E$601,0)),"")</f>
        <v/>
      </c>
      <c r="P18" s="11"/>
      <c r="Q18" s="11"/>
      <c r="R18" s="11"/>
      <c r="S18" s="11"/>
      <c r="T18" s="11"/>
      <c r="U18" s="11" t="str">
        <f>IF(AND(ROW()-1&lt;=教室申込!$K$5,教室申込!$K$7=0,COUNTA(教室申込!$C$4)=1),INDEX(展開用!$F$2:$F$601,MATCH(ROW()-1,展開用!$E$2:$E$601,0)),"")</f>
        <v/>
      </c>
      <c r="V18" s="11"/>
      <c r="W18" s="11"/>
      <c r="X18" s="11"/>
      <c r="Y18" s="11"/>
      <c r="Z18" s="11"/>
      <c r="AA18" s="11" t="str">
        <f>IF($AW18="","",IF(INDEX(教室申込!$J$1:$J$212,$AW18)="","",INDEX(教室申込!$J$1:$J$212,$AW18)))</f>
        <v/>
      </c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" t="str">
        <f>IF(AND(ROW()-1&lt;=教室申込!$K$5,教室申込!$K$7=0,COUNTA(教室申込!$C$4)=1),INDEX(展開用!$B$2:$B$601,MATCH(ROW()-1,展開用!$E$2:$E$601,0)),"")</f>
        <v/>
      </c>
      <c r="AX18" s="1"/>
      <c r="AY18" s="1"/>
    </row>
    <row r="19" spans="1:51" ht="24" customHeight="1">
      <c r="A19" s="11"/>
      <c r="B19" s="11"/>
      <c r="C19" s="11"/>
      <c r="D19" s="11"/>
      <c r="E19" s="11"/>
      <c r="F19" s="11"/>
      <c r="G19" s="11"/>
      <c r="H19" s="11" t="str">
        <f>IF(AND(ROW()-1&lt;=教室申込!$K$5,教室申込!$K$7=0,COUNTA(教室申込!$C$4)=1),INDEX(展開用!$C$2:$C$601,MATCH(ROW()-1,展開用!$E$2:$E$601,0)),"")</f>
        <v/>
      </c>
      <c r="I19" s="11" t="str">
        <f>IF(AND(ROW()-1&lt;=教室申込!$K$5,教室申込!$K$7=0,COUNTA(教室申込!$C$4)=1),INDEX(展開用!$D$2:$D$601,MATCH(ROW()-1,展開用!$E$2:$E$601,0)),"")</f>
        <v/>
      </c>
      <c r="J19" s="11"/>
      <c r="K19" s="11"/>
      <c r="L19" s="11" t="str">
        <f>IF(AND(ROW()-1&lt;=教室申込!$K$5,教室申込!$K$7=0,COUNTA(教室申込!$C$4)=1),INDEX(教室申込!$B$1:$B$212,$AW19),"")</f>
        <v/>
      </c>
      <c r="M19" s="11" t="str">
        <f>IF(AND(ROW()-1&lt;=教室申込!$K$5,教室申込!$K$7=0,COUNTA(教室申込!$C$4)=1),INDEX(教室申込!$C$1:$C$212,$AW19),"")</f>
        <v/>
      </c>
      <c r="N19" s="11"/>
      <c r="O19" s="12" t="str">
        <f>IF(AND(ROW()-1&lt;=教室申込!$K$5,教室申込!$K$7=0,COUNTA(教室申込!$C$4)=1),INDEX(展開用!$G$2:$G$601,MATCH(ROW()-1,展開用!$E$2:$E$601,0)),"")</f>
        <v/>
      </c>
      <c r="P19" s="11"/>
      <c r="Q19" s="11"/>
      <c r="R19" s="11"/>
      <c r="S19" s="11"/>
      <c r="T19" s="11"/>
      <c r="U19" s="11" t="str">
        <f>IF(AND(ROW()-1&lt;=教室申込!$K$5,教室申込!$K$7=0,COUNTA(教室申込!$C$4)=1),INDEX(展開用!$F$2:$F$601,MATCH(ROW()-1,展開用!$E$2:$E$601,0)),"")</f>
        <v/>
      </c>
      <c r="V19" s="11"/>
      <c r="W19" s="11"/>
      <c r="X19" s="11"/>
      <c r="Y19" s="11"/>
      <c r="Z19" s="11"/>
      <c r="AA19" s="11" t="str">
        <f>IF($AW19="","",IF(INDEX(教室申込!$J$1:$J$212,$AW19)="","",INDEX(教室申込!$J$1:$J$212,$AW19)))</f>
        <v/>
      </c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" t="str">
        <f>IF(AND(ROW()-1&lt;=教室申込!$K$5,教室申込!$K$7=0,COUNTA(教室申込!$C$4)=1),INDEX(展開用!$B$2:$B$601,MATCH(ROW()-1,展開用!$E$2:$E$601,0)),"")</f>
        <v/>
      </c>
      <c r="AX19" s="1"/>
      <c r="AY19" s="1"/>
    </row>
    <row r="20" spans="1:51" ht="24" customHeight="1">
      <c r="A20" s="11"/>
      <c r="B20" s="11"/>
      <c r="C20" s="11"/>
      <c r="D20" s="11"/>
      <c r="E20" s="11"/>
      <c r="F20" s="11"/>
      <c r="G20" s="11"/>
      <c r="H20" s="11" t="str">
        <f>IF(AND(ROW()-1&lt;=教室申込!$K$5,教室申込!$K$7=0,COUNTA(教室申込!$C$4)=1),INDEX(展開用!$C$2:$C$601,MATCH(ROW()-1,展開用!$E$2:$E$601,0)),"")</f>
        <v/>
      </c>
      <c r="I20" s="11" t="str">
        <f>IF(AND(ROW()-1&lt;=教室申込!$K$5,教室申込!$K$7=0,COUNTA(教室申込!$C$4)=1),INDEX(展開用!$D$2:$D$601,MATCH(ROW()-1,展開用!$E$2:$E$601,0)),"")</f>
        <v/>
      </c>
      <c r="J20" s="11"/>
      <c r="K20" s="11"/>
      <c r="L20" s="11" t="str">
        <f>IF(AND(ROW()-1&lt;=教室申込!$K$5,教室申込!$K$7=0,COUNTA(教室申込!$C$4)=1),INDEX(教室申込!$B$1:$B$212,$AW20),"")</f>
        <v/>
      </c>
      <c r="M20" s="11" t="str">
        <f>IF(AND(ROW()-1&lt;=教室申込!$K$5,教室申込!$K$7=0,COUNTA(教室申込!$C$4)=1),INDEX(教室申込!$C$1:$C$212,$AW20),"")</f>
        <v/>
      </c>
      <c r="N20" s="11"/>
      <c r="O20" s="12" t="str">
        <f>IF(AND(ROW()-1&lt;=教室申込!$K$5,教室申込!$K$7=0,COUNTA(教室申込!$C$4)=1),INDEX(展開用!$G$2:$G$601,MATCH(ROW()-1,展開用!$E$2:$E$601,0)),"")</f>
        <v/>
      </c>
      <c r="P20" s="11"/>
      <c r="Q20" s="11"/>
      <c r="R20" s="11"/>
      <c r="S20" s="11"/>
      <c r="T20" s="11"/>
      <c r="U20" s="11" t="str">
        <f>IF(AND(ROW()-1&lt;=教室申込!$K$5,教室申込!$K$7=0,COUNTA(教室申込!$C$4)=1),INDEX(展開用!$F$2:$F$601,MATCH(ROW()-1,展開用!$E$2:$E$601,0)),"")</f>
        <v/>
      </c>
      <c r="V20" s="11"/>
      <c r="W20" s="11"/>
      <c r="X20" s="11"/>
      <c r="Y20" s="11"/>
      <c r="Z20" s="11"/>
      <c r="AA20" s="11" t="str">
        <f>IF($AW20="","",IF(INDEX(教室申込!$J$1:$J$212,$AW20)="","",INDEX(教室申込!$J$1:$J$212,$AW20)))</f>
        <v/>
      </c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" t="str">
        <f>IF(AND(ROW()-1&lt;=教室申込!$K$5,教室申込!$K$7=0,COUNTA(教室申込!$C$4)=1),INDEX(展開用!$B$2:$B$601,MATCH(ROW()-1,展開用!$E$2:$E$601,0)),"")</f>
        <v/>
      </c>
      <c r="AX20" s="1"/>
      <c r="AY20" s="1"/>
    </row>
    <row r="21" spans="1:51" ht="24" customHeight="1">
      <c r="A21" s="11"/>
      <c r="B21" s="11"/>
      <c r="C21" s="11"/>
      <c r="D21" s="11"/>
      <c r="E21" s="11"/>
      <c r="F21" s="11"/>
      <c r="G21" s="11"/>
      <c r="H21" s="11" t="str">
        <f>IF(AND(ROW()-1&lt;=教室申込!$K$5,教室申込!$K$7=0,COUNTA(教室申込!$C$4)=1),INDEX(展開用!$C$2:$C$601,MATCH(ROW()-1,展開用!$E$2:$E$601,0)),"")</f>
        <v/>
      </c>
      <c r="I21" s="11" t="str">
        <f>IF(AND(ROW()-1&lt;=教室申込!$K$5,教室申込!$K$7=0,COUNTA(教室申込!$C$4)=1),INDEX(展開用!$D$2:$D$601,MATCH(ROW()-1,展開用!$E$2:$E$601,0)),"")</f>
        <v/>
      </c>
      <c r="J21" s="11"/>
      <c r="K21" s="11"/>
      <c r="L21" s="11" t="str">
        <f>IF(AND(ROW()-1&lt;=教室申込!$K$5,教室申込!$K$7=0,COUNTA(教室申込!$C$4)=1),INDEX(教室申込!$B$1:$B$212,$AW21),"")</f>
        <v/>
      </c>
      <c r="M21" s="11" t="str">
        <f>IF(AND(ROW()-1&lt;=教室申込!$K$5,教室申込!$K$7=0,COUNTA(教室申込!$C$4)=1),INDEX(教室申込!$C$1:$C$212,$AW21),"")</f>
        <v/>
      </c>
      <c r="N21" s="11"/>
      <c r="O21" s="12" t="str">
        <f>IF(AND(ROW()-1&lt;=教室申込!$K$5,教室申込!$K$7=0,COUNTA(教室申込!$C$4)=1),INDEX(展開用!$G$2:$G$601,MATCH(ROW()-1,展開用!$E$2:$E$601,0)),"")</f>
        <v/>
      </c>
      <c r="P21" s="11"/>
      <c r="Q21" s="11"/>
      <c r="R21" s="11"/>
      <c r="S21" s="11"/>
      <c r="T21" s="11"/>
      <c r="U21" s="11" t="str">
        <f>IF(AND(ROW()-1&lt;=教室申込!$K$5,教室申込!$K$7=0,COUNTA(教室申込!$C$4)=1),INDEX(展開用!$F$2:$F$601,MATCH(ROW()-1,展開用!$E$2:$E$601,0)),"")</f>
        <v/>
      </c>
      <c r="V21" s="11"/>
      <c r="W21" s="11"/>
      <c r="X21" s="11"/>
      <c r="Y21" s="11"/>
      <c r="Z21" s="11"/>
      <c r="AA21" s="11" t="str">
        <f>IF($AW21="","",IF(INDEX(教室申込!$J$1:$J$212,$AW21)="","",INDEX(教室申込!$J$1:$J$212,$AW21)))</f>
        <v/>
      </c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" t="str">
        <f>IF(AND(ROW()-1&lt;=教室申込!$K$5,教室申込!$K$7=0,COUNTA(教室申込!$C$4)=1),INDEX(展開用!$B$2:$B$601,MATCH(ROW()-1,展開用!$E$2:$E$601,0)),"")</f>
        <v/>
      </c>
      <c r="AX21" s="1"/>
      <c r="AY21" s="1"/>
    </row>
    <row r="22" spans="1:51" ht="24" customHeight="1">
      <c r="A22" s="11"/>
      <c r="B22" s="11"/>
      <c r="C22" s="11"/>
      <c r="D22" s="11"/>
      <c r="E22" s="11"/>
      <c r="F22" s="11"/>
      <c r="G22" s="11"/>
      <c r="H22" s="11" t="str">
        <f>IF(AND(ROW()-1&lt;=教室申込!$K$5,教室申込!$K$7=0,COUNTA(教室申込!$C$4)=1),INDEX(展開用!$C$2:$C$601,MATCH(ROW()-1,展開用!$E$2:$E$601,0)),"")</f>
        <v/>
      </c>
      <c r="I22" s="11" t="str">
        <f>IF(AND(ROW()-1&lt;=教室申込!$K$5,教室申込!$K$7=0,COUNTA(教室申込!$C$4)=1),INDEX(展開用!$D$2:$D$601,MATCH(ROW()-1,展開用!$E$2:$E$601,0)),"")</f>
        <v/>
      </c>
      <c r="J22" s="11"/>
      <c r="K22" s="11"/>
      <c r="L22" s="11" t="str">
        <f>IF(AND(ROW()-1&lt;=教室申込!$K$5,教室申込!$K$7=0,COUNTA(教室申込!$C$4)=1),INDEX(教室申込!$B$1:$B$212,$AW22),"")</f>
        <v/>
      </c>
      <c r="M22" s="11" t="str">
        <f>IF(AND(ROW()-1&lt;=教室申込!$K$5,教室申込!$K$7=0,COUNTA(教室申込!$C$4)=1),INDEX(教室申込!$C$1:$C$212,$AW22),"")</f>
        <v/>
      </c>
      <c r="N22" s="11"/>
      <c r="O22" s="12" t="str">
        <f>IF(AND(ROW()-1&lt;=教室申込!$K$5,教室申込!$K$7=0,COUNTA(教室申込!$C$4)=1),INDEX(展開用!$G$2:$G$601,MATCH(ROW()-1,展開用!$E$2:$E$601,0)),"")</f>
        <v/>
      </c>
      <c r="P22" s="11"/>
      <c r="Q22" s="11"/>
      <c r="R22" s="11"/>
      <c r="S22" s="11"/>
      <c r="T22" s="11"/>
      <c r="U22" s="11" t="str">
        <f>IF(AND(ROW()-1&lt;=教室申込!$K$5,教室申込!$K$7=0,COUNTA(教室申込!$C$4)=1),INDEX(展開用!$F$2:$F$601,MATCH(ROW()-1,展開用!$E$2:$E$601,0)),"")</f>
        <v/>
      </c>
      <c r="V22" s="11"/>
      <c r="W22" s="11"/>
      <c r="X22" s="11"/>
      <c r="Y22" s="11"/>
      <c r="Z22" s="11"/>
      <c r="AA22" s="11" t="str">
        <f>IF($AW22="","",IF(INDEX(教室申込!$J$1:$J$212,$AW22)="","",INDEX(教室申込!$J$1:$J$212,$AW22)))</f>
        <v/>
      </c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" t="str">
        <f>IF(AND(ROW()-1&lt;=教室申込!$K$5,教室申込!$K$7=0,COUNTA(教室申込!$C$4)=1),INDEX(展開用!$B$2:$B$601,MATCH(ROW()-1,展開用!$E$2:$E$601,0)),"")</f>
        <v/>
      </c>
      <c r="AX22" s="1"/>
      <c r="AY22" s="1"/>
    </row>
    <row r="23" spans="1:51" ht="24" customHeight="1">
      <c r="A23" s="11"/>
      <c r="B23" s="11"/>
      <c r="C23" s="11"/>
      <c r="D23" s="11"/>
      <c r="E23" s="11"/>
      <c r="F23" s="11"/>
      <c r="G23" s="11"/>
      <c r="H23" s="11" t="str">
        <f>IF(AND(ROW()-1&lt;=教室申込!$K$5,教室申込!$K$7=0,COUNTA(教室申込!$C$4)=1),INDEX(展開用!$C$2:$C$601,MATCH(ROW()-1,展開用!$E$2:$E$601,0)),"")</f>
        <v/>
      </c>
      <c r="I23" s="11" t="str">
        <f>IF(AND(ROW()-1&lt;=教室申込!$K$5,教室申込!$K$7=0,COUNTA(教室申込!$C$4)=1),INDEX(展開用!$D$2:$D$601,MATCH(ROW()-1,展開用!$E$2:$E$601,0)),"")</f>
        <v/>
      </c>
      <c r="J23" s="11"/>
      <c r="K23" s="11"/>
      <c r="L23" s="11" t="str">
        <f>IF(AND(ROW()-1&lt;=教室申込!$K$5,教室申込!$K$7=0,COUNTA(教室申込!$C$4)=1),INDEX(教室申込!$B$1:$B$212,$AW23),"")</f>
        <v/>
      </c>
      <c r="M23" s="11" t="str">
        <f>IF(AND(ROW()-1&lt;=教室申込!$K$5,教室申込!$K$7=0,COUNTA(教室申込!$C$4)=1),INDEX(教室申込!$C$1:$C$212,$AW23),"")</f>
        <v/>
      </c>
      <c r="N23" s="11"/>
      <c r="O23" s="12" t="str">
        <f>IF(AND(ROW()-1&lt;=教室申込!$K$5,教室申込!$K$7=0,COUNTA(教室申込!$C$4)=1),INDEX(展開用!$G$2:$G$601,MATCH(ROW()-1,展開用!$E$2:$E$601,0)),"")</f>
        <v/>
      </c>
      <c r="P23" s="11"/>
      <c r="Q23" s="11"/>
      <c r="R23" s="11"/>
      <c r="S23" s="11"/>
      <c r="T23" s="11"/>
      <c r="U23" s="11" t="str">
        <f>IF(AND(ROW()-1&lt;=教室申込!$K$5,教室申込!$K$7=0,COUNTA(教室申込!$C$4)=1),INDEX(展開用!$F$2:$F$601,MATCH(ROW()-1,展開用!$E$2:$E$601,0)),"")</f>
        <v/>
      </c>
      <c r="V23" s="11"/>
      <c r="W23" s="11"/>
      <c r="X23" s="11"/>
      <c r="Y23" s="11"/>
      <c r="Z23" s="11"/>
      <c r="AA23" s="11" t="str">
        <f>IF($AW23="","",IF(INDEX(教室申込!$J$1:$J$212,$AW23)="","",INDEX(教室申込!$J$1:$J$212,$AW23)))</f>
        <v/>
      </c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" t="str">
        <f>IF(AND(ROW()-1&lt;=教室申込!$K$5,教室申込!$K$7=0,COUNTA(教室申込!$C$4)=1),INDEX(展開用!$B$2:$B$601,MATCH(ROW()-1,展開用!$E$2:$E$601,0)),"")</f>
        <v/>
      </c>
      <c r="AX23" s="1"/>
      <c r="AY23" s="1"/>
    </row>
    <row r="24" spans="1:51" ht="24" customHeight="1">
      <c r="A24" s="11"/>
      <c r="B24" s="11"/>
      <c r="C24" s="11"/>
      <c r="D24" s="11"/>
      <c r="E24" s="11"/>
      <c r="F24" s="11"/>
      <c r="G24" s="11"/>
      <c r="H24" s="11" t="str">
        <f>IF(AND(ROW()-1&lt;=教室申込!$K$5,教室申込!$K$7=0,COUNTA(教室申込!$C$4)=1),INDEX(展開用!$C$2:$C$601,MATCH(ROW()-1,展開用!$E$2:$E$601,0)),"")</f>
        <v/>
      </c>
      <c r="I24" s="11" t="str">
        <f>IF(AND(ROW()-1&lt;=教室申込!$K$5,教室申込!$K$7=0,COUNTA(教室申込!$C$4)=1),INDEX(展開用!$D$2:$D$601,MATCH(ROW()-1,展開用!$E$2:$E$601,0)),"")</f>
        <v/>
      </c>
      <c r="J24" s="11"/>
      <c r="K24" s="11"/>
      <c r="L24" s="11" t="str">
        <f>IF(AND(ROW()-1&lt;=教室申込!$K$5,教室申込!$K$7=0,COUNTA(教室申込!$C$4)=1),INDEX(教室申込!$B$1:$B$212,$AW24),"")</f>
        <v/>
      </c>
      <c r="M24" s="11" t="str">
        <f>IF(AND(ROW()-1&lt;=教室申込!$K$5,教室申込!$K$7=0,COUNTA(教室申込!$C$4)=1),INDEX(教室申込!$C$1:$C$212,$AW24),"")</f>
        <v/>
      </c>
      <c r="N24" s="11"/>
      <c r="O24" s="12" t="str">
        <f>IF(AND(ROW()-1&lt;=教室申込!$K$5,教室申込!$K$7=0,COUNTA(教室申込!$C$4)=1),INDEX(展開用!$G$2:$G$601,MATCH(ROW()-1,展開用!$E$2:$E$601,0)),"")</f>
        <v/>
      </c>
      <c r="P24" s="11"/>
      <c r="Q24" s="11"/>
      <c r="R24" s="11"/>
      <c r="S24" s="11"/>
      <c r="T24" s="11"/>
      <c r="U24" s="11" t="str">
        <f>IF(AND(ROW()-1&lt;=教室申込!$K$5,教室申込!$K$7=0,COUNTA(教室申込!$C$4)=1),INDEX(展開用!$F$2:$F$601,MATCH(ROW()-1,展開用!$E$2:$E$601,0)),"")</f>
        <v/>
      </c>
      <c r="V24" s="11"/>
      <c r="W24" s="11"/>
      <c r="X24" s="11"/>
      <c r="Y24" s="11"/>
      <c r="Z24" s="11"/>
      <c r="AA24" s="11" t="str">
        <f>IF($AW24="","",IF(INDEX(教室申込!$J$1:$J$212,$AW24)="","",INDEX(教室申込!$J$1:$J$212,$AW24)))</f>
        <v/>
      </c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" t="str">
        <f>IF(AND(ROW()-1&lt;=教室申込!$K$5,教室申込!$K$7=0,COUNTA(教室申込!$C$4)=1),INDEX(展開用!$B$2:$B$601,MATCH(ROW()-1,展開用!$E$2:$E$601,0)),"")</f>
        <v/>
      </c>
      <c r="AX24" s="1"/>
      <c r="AY24" s="1"/>
    </row>
    <row r="25" spans="1:51" ht="24" customHeight="1">
      <c r="A25" s="11"/>
      <c r="B25" s="11"/>
      <c r="C25" s="11"/>
      <c r="D25" s="11"/>
      <c r="E25" s="11"/>
      <c r="F25" s="11"/>
      <c r="G25" s="11"/>
      <c r="H25" s="11" t="str">
        <f>IF(AND(ROW()-1&lt;=教室申込!$K$5,教室申込!$K$7=0,COUNTA(教室申込!$C$4)=1),INDEX(展開用!$C$2:$C$601,MATCH(ROW()-1,展開用!$E$2:$E$601,0)),"")</f>
        <v/>
      </c>
      <c r="I25" s="11" t="str">
        <f>IF(AND(ROW()-1&lt;=教室申込!$K$5,教室申込!$K$7=0,COUNTA(教室申込!$C$4)=1),INDEX(展開用!$D$2:$D$601,MATCH(ROW()-1,展開用!$E$2:$E$601,0)),"")</f>
        <v/>
      </c>
      <c r="J25" s="11"/>
      <c r="K25" s="11"/>
      <c r="L25" s="11" t="str">
        <f>IF(AND(ROW()-1&lt;=教室申込!$K$5,教室申込!$K$7=0,COUNTA(教室申込!$C$4)=1),INDEX(教室申込!$B$1:$B$212,$AW25),"")</f>
        <v/>
      </c>
      <c r="M25" s="11" t="str">
        <f>IF(AND(ROW()-1&lt;=教室申込!$K$5,教室申込!$K$7=0,COUNTA(教室申込!$C$4)=1),INDEX(教室申込!$C$1:$C$212,$AW25),"")</f>
        <v/>
      </c>
      <c r="N25" s="11"/>
      <c r="O25" s="12" t="str">
        <f>IF(AND(ROW()-1&lt;=教室申込!$K$5,教室申込!$K$7=0,COUNTA(教室申込!$C$4)=1),INDEX(展開用!$G$2:$G$601,MATCH(ROW()-1,展開用!$E$2:$E$601,0)),"")</f>
        <v/>
      </c>
      <c r="P25" s="11"/>
      <c r="Q25" s="11"/>
      <c r="R25" s="11"/>
      <c r="S25" s="11"/>
      <c r="T25" s="11"/>
      <c r="U25" s="11" t="str">
        <f>IF(AND(ROW()-1&lt;=教室申込!$K$5,教室申込!$K$7=0,COUNTA(教室申込!$C$4)=1),INDEX(展開用!$F$2:$F$601,MATCH(ROW()-1,展開用!$E$2:$E$601,0)),"")</f>
        <v/>
      </c>
      <c r="V25" s="11"/>
      <c r="W25" s="11"/>
      <c r="X25" s="11"/>
      <c r="Y25" s="11"/>
      <c r="Z25" s="11"/>
      <c r="AA25" s="11" t="str">
        <f>IF($AW25="","",IF(INDEX(教室申込!$J$1:$J$212,$AW25)="","",INDEX(教室申込!$J$1:$J$212,$AW25)))</f>
        <v/>
      </c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" t="str">
        <f>IF(AND(ROW()-1&lt;=教室申込!$K$5,教室申込!$K$7=0,COUNTA(教室申込!$C$4)=1),INDEX(展開用!$B$2:$B$601,MATCH(ROW()-1,展開用!$E$2:$E$601,0)),"")</f>
        <v/>
      </c>
      <c r="AX25" s="1"/>
      <c r="AY25" s="1"/>
    </row>
    <row r="26" spans="1:51" ht="24" customHeight="1">
      <c r="A26" s="11"/>
      <c r="B26" s="11"/>
      <c r="C26" s="11"/>
      <c r="D26" s="11"/>
      <c r="E26" s="11"/>
      <c r="F26" s="11"/>
      <c r="G26" s="11"/>
      <c r="H26" s="11" t="str">
        <f>IF(AND(ROW()-1&lt;=教室申込!$K$5,教室申込!$K$7=0,COUNTA(教室申込!$C$4)=1),INDEX(展開用!$C$2:$C$601,MATCH(ROW()-1,展開用!$E$2:$E$601,0)),"")</f>
        <v/>
      </c>
      <c r="I26" s="11" t="str">
        <f>IF(AND(ROW()-1&lt;=教室申込!$K$5,教室申込!$K$7=0,COUNTA(教室申込!$C$4)=1),INDEX(展開用!$D$2:$D$601,MATCH(ROW()-1,展開用!$E$2:$E$601,0)),"")</f>
        <v/>
      </c>
      <c r="J26" s="11"/>
      <c r="K26" s="11"/>
      <c r="L26" s="11" t="str">
        <f>IF(AND(ROW()-1&lt;=教室申込!$K$5,教室申込!$K$7=0,COUNTA(教室申込!$C$4)=1),INDEX(教室申込!$B$1:$B$212,$AW26),"")</f>
        <v/>
      </c>
      <c r="M26" s="11" t="str">
        <f>IF(AND(ROW()-1&lt;=教室申込!$K$5,教室申込!$K$7=0,COUNTA(教室申込!$C$4)=1),INDEX(教室申込!$C$1:$C$212,$AW26),"")</f>
        <v/>
      </c>
      <c r="N26" s="11"/>
      <c r="O26" s="12" t="str">
        <f>IF(AND(ROW()-1&lt;=教室申込!$K$5,教室申込!$K$7=0,COUNTA(教室申込!$C$4)=1),INDEX(展開用!$G$2:$G$601,MATCH(ROW()-1,展開用!$E$2:$E$601,0)),"")</f>
        <v/>
      </c>
      <c r="P26" s="11"/>
      <c r="Q26" s="11"/>
      <c r="R26" s="11"/>
      <c r="S26" s="11"/>
      <c r="T26" s="11"/>
      <c r="U26" s="11" t="str">
        <f>IF(AND(ROW()-1&lt;=教室申込!$K$5,教室申込!$K$7=0,COUNTA(教室申込!$C$4)=1),INDEX(展開用!$F$2:$F$601,MATCH(ROW()-1,展開用!$E$2:$E$601,0)),"")</f>
        <v/>
      </c>
      <c r="V26" s="11"/>
      <c r="W26" s="11"/>
      <c r="X26" s="11"/>
      <c r="Y26" s="11"/>
      <c r="Z26" s="11"/>
      <c r="AA26" s="11" t="str">
        <f>IF($AW26="","",IF(INDEX(教室申込!$J$1:$J$212,$AW26)="","",INDEX(教室申込!$J$1:$J$212,$AW26)))</f>
        <v/>
      </c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" t="str">
        <f>IF(AND(ROW()-1&lt;=教室申込!$K$5,教室申込!$K$7=0,COUNTA(教室申込!$C$4)=1),INDEX(展開用!$B$2:$B$601,MATCH(ROW()-1,展開用!$E$2:$E$601,0)),"")</f>
        <v/>
      </c>
      <c r="AX26" s="1"/>
      <c r="AY26" s="1"/>
    </row>
    <row r="27" spans="1:51" ht="24" customHeight="1">
      <c r="A27" s="11"/>
      <c r="B27" s="11"/>
      <c r="C27" s="11"/>
      <c r="D27" s="11"/>
      <c r="E27" s="11"/>
      <c r="F27" s="11"/>
      <c r="G27" s="11"/>
      <c r="H27" s="11" t="str">
        <f>IF(AND(ROW()-1&lt;=教室申込!$K$5,教室申込!$K$7=0,COUNTA(教室申込!$C$4)=1),INDEX(展開用!$C$2:$C$601,MATCH(ROW()-1,展開用!$E$2:$E$601,0)),"")</f>
        <v/>
      </c>
      <c r="I27" s="11" t="str">
        <f>IF(AND(ROW()-1&lt;=教室申込!$K$5,教室申込!$K$7=0,COUNTA(教室申込!$C$4)=1),INDEX(展開用!$D$2:$D$601,MATCH(ROW()-1,展開用!$E$2:$E$601,0)),"")</f>
        <v/>
      </c>
      <c r="J27" s="11"/>
      <c r="K27" s="11"/>
      <c r="L27" s="11" t="str">
        <f>IF(AND(ROW()-1&lt;=教室申込!$K$5,教室申込!$K$7=0,COUNTA(教室申込!$C$4)=1),INDEX(教室申込!$B$1:$B$212,$AW27),"")</f>
        <v/>
      </c>
      <c r="M27" s="11" t="str">
        <f>IF(AND(ROW()-1&lt;=教室申込!$K$5,教室申込!$K$7=0,COUNTA(教室申込!$C$4)=1),INDEX(教室申込!$C$1:$C$212,$AW27),"")</f>
        <v/>
      </c>
      <c r="N27" s="11"/>
      <c r="O27" s="12" t="str">
        <f>IF(AND(ROW()-1&lt;=教室申込!$K$5,教室申込!$K$7=0,COUNTA(教室申込!$C$4)=1),INDEX(展開用!$G$2:$G$601,MATCH(ROW()-1,展開用!$E$2:$E$601,0)),"")</f>
        <v/>
      </c>
      <c r="P27" s="11"/>
      <c r="Q27" s="11"/>
      <c r="R27" s="11"/>
      <c r="S27" s="11"/>
      <c r="T27" s="11"/>
      <c r="U27" s="11" t="str">
        <f>IF(AND(ROW()-1&lt;=教室申込!$K$5,教室申込!$K$7=0,COUNTA(教室申込!$C$4)=1),INDEX(展開用!$F$2:$F$601,MATCH(ROW()-1,展開用!$E$2:$E$601,0)),"")</f>
        <v/>
      </c>
      <c r="V27" s="11"/>
      <c r="W27" s="11"/>
      <c r="X27" s="11"/>
      <c r="Y27" s="11"/>
      <c r="Z27" s="11"/>
      <c r="AA27" s="11" t="str">
        <f>IF($AW27="","",IF(INDEX(教室申込!$J$1:$J$212,$AW27)="","",INDEX(教室申込!$J$1:$J$212,$AW27)))</f>
        <v/>
      </c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" t="str">
        <f>IF(AND(ROW()-1&lt;=教室申込!$K$5,教室申込!$K$7=0,COUNTA(教室申込!$C$4)=1),INDEX(展開用!$B$2:$B$601,MATCH(ROW()-1,展開用!$E$2:$E$601,0)),"")</f>
        <v/>
      </c>
      <c r="AX27" s="1"/>
      <c r="AY27" s="1"/>
    </row>
    <row r="28" spans="1:51" ht="24" customHeight="1">
      <c r="A28" s="11"/>
      <c r="B28" s="11"/>
      <c r="C28" s="11"/>
      <c r="D28" s="11"/>
      <c r="E28" s="11"/>
      <c r="F28" s="11"/>
      <c r="G28" s="11"/>
      <c r="H28" s="11" t="str">
        <f>IF(AND(ROW()-1&lt;=教室申込!$K$5,教室申込!$K$7=0,COUNTA(教室申込!$C$4)=1),INDEX(展開用!$C$2:$C$601,MATCH(ROW()-1,展開用!$E$2:$E$601,0)),"")</f>
        <v/>
      </c>
      <c r="I28" s="11" t="str">
        <f>IF(AND(ROW()-1&lt;=教室申込!$K$5,教室申込!$K$7=0,COUNTA(教室申込!$C$4)=1),INDEX(展開用!$D$2:$D$601,MATCH(ROW()-1,展開用!$E$2:$E$601,0)),"")</f>
        <v/>
      </c>
      <c r="J28" s="11"/>
      <c r="K28" s="11"/>
      <c r="L28" s="11" t="str">
        <f>IF(AND(ROW()-1&lt;=教室申込!$K$5,教室申込!$K$7=0,COUNTA(教室申込!$C$4)=1),INDEX(教室申込!$B$1:$B$212,$AW28),"")</f>
        <v/>
      </c>
      <c r="M28" s="11" t="str">
        <f>IF(AND(ROW()-1&lt;=教室申込!$K$5,教室申込!$K$7=0,COUNTA(教室申込!$C$4)=1),INDEX(教室申込!$C$1:$C$212,$AW28),"")</f>
        <v/>
      </c>
      <c r="N28" s="11"/>
      <c r="O28" s="12" t="str">
        <f>IF(AND(ROW()-1&lt;=教室申込!$K$5,教室申込!$K$7=0,COUNTA(教室申込!$C$4)=1),INDEX(展開用!$G$2:$G$601,MATCH(ROW()-1,展開用!$E$2:$E$601,0)),"")</f>
        <v/>
      </c>
      <c r="P28" s="11"/>
      <c r="Q28" s="11"/>
      <c r="R28" s="11"/>
      <c r="S28" s="11"/>
      <c r="T28" s="11"/>
      <c r="U28" s="11" t="str">
        <f>IF(AND(ROW()-1&lt;=教室申込!$K$5,教室申込!$K$7=0,COUNTA(教室申込!$C$4)=1),INDEX(展開用!$F$2:$F$601,MATCH(ROW()-1,展開用!$E$2:$E$601,0)),"")</f>
        <v/>
      </c>
      <c r="V28" s="11"/>
      <c r="W28" s="11"/>
      <c r="X28" s="11"/>
      <c r="Y28" s="11"/>
      <c r="Z28" s="11"/>
      <c r="AA28" s="11" t="str">
        <f>IF($AW28="","",IF(INDEX(教室申込!$J$1:$J$212,$AW28)="","",INDEX(教室申込!$J$1:$J$212,$AW28)))</f>
        <v/>
      </c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" t="str">
        <f>IF(AND(ROW()-1&lt;=教室申込!$K$5,教室申込!$K$7=0,COUNTA(教室申込!$C$4)=1),INDEX(展開用!$B$2:$B$601,MATCH(ROW()-1,展開用!$E$2:$E$601,0)),"")</f>
        <v/>
      </c>
      <c r="AX28" s="1"/>
      <c r="AY28" s="1"/>
    </row>
    <row r="29" spans="1:51" ht="24" customHeight="1">
      <c r="A29" s="11"/>
      <c r="B29" s="11"/>
      <c r="C29" s="11"/>
      <c r="D29" s="11"/>
      <c r="E29" s="11"/>
      <c r="F29" s="11"/>
      <c r="G29" s="11"/>
      <c r="H29" s="11" t="str">
        <f>IF(AND(ROW()-1&lt;=教室申込!$K$5,教室申込!$K$7=0,COUNTA(教室申込!$C$4)=1),INDEX(展開用!$C$2:$C$601,MATCH(ROW()-1,展開用!$E$2:$E$601,0)),"")</f>
        <v/>
      </c>
      <c r="I29" s="11" t="str">
        <f>IF(AND(ROW()-1&lt;=教室申込!$K$5,教室申込!$K$7=0,COUNTA(教室申込!$C$4)=1),INDEX(展開用!$D$2:$D$601,MATCH(ROW()-1,展開用!$E$2:$E$601,0)),"")</f>
        <v/>
      </c>
      <c r="J29" s="11"/>
      <c r="K29" s="11"/>
      <c r="L29" s="11" t="str">
        <f>IF(AND(ROW()-1&lt;=教室申込!$K$5,教室申込!$K$7=0,COUNTA(教室申込!$C$4)=1),INDEX(教室申込!$B$1:$B$212,$AW29),"")</f>
        <v/>
      </c>
      <c r="M29" s="11" t="str">
        <f>IF(AND(ROW()-1&lt;=教室申込!$K$5,教室申込!$K$7=0,COUNTA(教室申込!$C$4)=1),INDEX(教室申込!$C$1:$C$212,$AW29),"")</f>
        <v/>
      </c>
      <c r="N29" s="11"/>
      <c r="O29" s="12" t="str">
        <f>IF(AND(ROW()-1&lt;=教室申込!$K$5,教室申込!$K$7=0,COUNTA(教室申込!$C$4)=1),INDEX(展開用!$G$2:$G$601,MATCH(ROW()-1,展開用!$E$2:$E$601,0)),"")</f>
        <v/>
      </c>
      <c r="P29" s="11"/>
      <c r="Q29" s="11"/>
      <c r="R29" s="11"/>
      <c r="S29" s="11"/>
      <c r="T29" s="11"/>
      <c r="U29" s="11" t="str">
        <f>IF(AND(ROW()-1&lt;=教室申込!$K$5,教室申込!$K$7=0,COUNTA(教室申込!$C$4)=1),INDEX(展開用!$F$2:$F$601,MATCH(ROW()-1,展開用!$E$2:$E$601,0)),"")</f>
        <v/>
      </c>
      <c r="V29" s="11"/>
      <c r="W29" s="11"/>
      <c r="X29" s="11"/>
      <c r="Y29" s="11"/>
      <c r="Z29" s="11"/>
      <c r="AA29" s="11" t="str">
        <f>IF($AW29="","",IF(INDEX(教室申込!$J$1:$J$212,$AW29)="","",INDEX(教室申込!$J$1:$J$212,$AW29)))</f>
        <v/>
      </c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" t="str">
        <f>IF(AND(ROW()-1&lt;=教室申込!$K$5,教室申込!$K$7=0,COUNTA(教室申込!$C$4)=1),INDEX(展開用!$B$2:$B$601,MATCH(ROW()-1,展開用!$E$2:$E$601,0)),"")</f>
        <v/>
      </c>
      <c r="AX29" s="1"/>
      <c r="AY29" s="1"/>
    </row>
    <row r="30" spans="1:51" ht="24" customHeight="1">
      <c r="A30" s="11"/>
      <c r="B30" s="11"/>
      <c r="C30" s="11"/>
      <c r="D30" s="11"/>
      <c r="E30" s="11"/>
      <c r="F30" s="11"/>
      <c r="G30" s="11"/>
      <c r="H30" s="11" t="str">
        <f>IF(AND(ROW()-1&lt;=教室申込!$K$5,教室申込!$K$7=0,COUNTA(教室申込!$C$4)=1),INDEX(展開用!$C$2:$C$601,MATCH(ROW()-1,展開用!$E$2:$E$601,0)),"")</f>
        <v/>
      </c>
      <c r="I30" s="11" t="str">
        <f>IF(AND(ROW()-1&lt;=教室申込!$K$5,教室申込!$K$7=0,COUNTA(教室申込!$C$4)=1),INDEX(展開用!$D$2:$D$601,MATCH(ROW()-1,展開用!$E$2:$E$601,0)),"")</f>
        <v/>
      </c>
      <c r="J30" s="11"/>
      <c r="K30" s="11"/>
      <c r="L30" s="11" t="str">
        <f>IF(AND(ROW()-1&lt;=教室申込!$K$5,教室申込!$K$7=0,COUNTA(教室申込!$C$4)=1),INDEX(教室申込!$B$1:$B$212,$AW30),"")</f>
        <v/>
      </c>
      <c r="M30" s="11" t="str">
        <f>IF(AND(ROW()-1&lt;=教室申込!$K$5,教室申込!$K$7=0,COUNTA(教室申込!$C$4)=1),INDEX(教室申込!$C$1:$C$212,$AW30),"")</f>
        <v/>
      </c>
      <c r="N30" s="11"/>
      <c r="O30" s="12" t="str">
        <f>IF(AND(ROW()-1&lt;=教室申込!$K$5,教室申込!$K$7=0,COUNTA(教室申込!$C$4)=1),INDEX(展開用!$G$2:$G$601,MATCH(ROW()-1,展開用!$E$2:$E$601,0)),"")</f>
        <v/>
      </c>
      <c r="P30" s="11"/>
      <c r="Q30" s="11"/>
      <c r="R30" s="11"/>
      <c r="S30" s="11"/>
      <c r="T30" s="11"/>
      <c r="U30" s="11" t="str">
        <f>IF(AND(ROW()-1&lt;=教室申込!$K$5,教室申込!$K$7=0,COUNTA(教室申込!$C$4)=1),INDEX(展開用!$F$2:$F$601,MATCH(ROW()-1,展開用!$E$2:$E$601,0)),"")</f>
        <v/>
      </c>
      <c r="V30" s="11"/>
      <c r="W30" s="11"/>
      <c r="X30" s="11"/>
      <c r="Y30" s="11"/>
      <c r="Z30" s="11"/>
      <c r="AA30" s="11" t="str">
        <f>IF($AW30="","",IF(INDEX(教室申込!$J$1:$J$212,$AW30)="","",INDEX(教室申込!$J$1:$J$212,$AW30)))</f>
        <v/>
      </c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" t="str">
        <f>IF(AND(ROW()-1&lt;=教室申込!$K$5,教室申込!$K$7=0,COUNTA(教室申込!$C$4)=1),INDEX(展開用!$B$2:$B$601,MATCH(ROW()-1,展開用!$E$2:$E$601,0)),"")</f>
        <v/>
      </c>
      <c r="AX30" s="1"/>
      <c r="AY30" s="1"/>
    </row>
    <row r="31" spans="1:51" ht="24" customHeight="1">
      <c r="A31" s="11"/>
      <c r="B31" s="11"/>
      <c r="C31" s="11"/>
      <c r="D31" s="11"/>
      <c r="E31" s="11"/>
      <c r="F31" s="11"/>
      <c r="G31" s="11"/>
      <c r="H31" s="11" t="str">
        <f>IF(AND(ROW()-1&lt;=教室申込!$K$5,教室申込!$K$7=0,COUNTA(教室申込!$C$4)=1),INDEX(展開用!$C$2:$C$601,MATCH(ROW()-1,展開用!$E$2:$E$601,0)),"")</f>
        <v/>
      </c>
      <c r="I31" s="11" t="str">
        <f>IF(AND(ROW()-1&lt;=教室申込!$K$5,教室申込!$K$7=0,COUNTA(教室申込!$C$4)=1),INDEX(展開用!$D$2:$D$601,MATCH(ROW()-1,展開用!$E$2:$E$601,0)),"")</f>
        <v/>
      </c>
      <c r="J31" s="11"/>
      <c r="K31" s="11"/>
      <c r="L31" s="11" t="str">
        <f>IF(AND(ROW()-1&lt;=教室申込!$K$5,教室申込!$K$7=0,COUNTA(教室申込!$C$4)=1),INDEX(教室申込!$B$1:$B$212,$AW31),"")</f>
        <v/>
      </c>
      <c r="M31" s="11" t="str">
        <f>IF(AND(ROW()-1&lt;=教室申込!$K$5,教室申込!$K$7=0,COUNTA(教室申込!$C$4)=1),INDEX(教室申込!$C$1:$C$212,$AW31),"")</f>
        <v/>
      </c>
      <c r="N31" s="11"/>
      <c r="O31" s="12" t="str">
        <f>IF(AND(ROW()-1&lt;=教室申込!$K$5,教室申込!$K$7=0,COUNTA(教室申込!$C$4)=1),INDEX(展開用!$G$2:$G$601,MATCH(ROW()-1,展開用!$E$2:$E$601,0)),"")</f>
        <v/>
      </c>
      <c r="P31" s="11"/>
      <c r="Q31" s="11"/>
      <c r="R31" s="11"/>
      <c r="S31" s="11"/>
      <c r="T31" s="11"/>
      <c r="U31" s="11" t="str">
        <f>IF(AND(ROW()-1&lt;=教室申込!$K$5,教室申込!$K$7=0,COUNTA(教室申込!$C$4)=1),INDEX(展開用!$F$2:$F$601,MATCH(ROW()-1,展開用!$E$2:$E$601,0)),"")</f>
        <v/>
      </c>
      <c r="V31" s="11"/>
      <c r="W31" s="11"/>
      <c r="X31" s="11"/>
      <c r="Y31" s="11"/>
      <c r="Z31" s="11"/>
      <c r="AA31" s="11" t="str">
        <f>IF($AW31="","",IF(INDEX(教室申込!$J$1:$J$212,$AW31)="","",INDEX(教室申込!$J$1:$J$212,$AW31)))</f>
        <v/>
      </c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" t="str">
        <f>IF(AND(ROW()-1&lt;=教室申込!$K$5,教室申込!$K$7=0,COUNTA(教室申込!$C$4)=1),INDEX(展開用!$B$2:$B$601,MATCH(ROW()-1,展開用!$E$2:$E$601,0)),"")</f>
        <v/>
      </c>
      <c r="AX31" s="1"/>
      <c r="AY31" s="1"/>
    </row>
    <row r="32" spans="1:51" ht="24" customHeight="1">
      <c r="A32" s="11"/>
      <c r="B32" s="11"/>
      <c r="C32" s="11"/>
      <c r="D32" s="11"/>
      <c r="E32" s="11"/>
      <c r="F32" s="11"/>
      <c r="G32" s="11"/>
      <c r="H32" s="11" t="str">
        <f>IF(AND(ROW()-1&lt;=教室申込!$K$5,教室申込!$K$7=0,COUNTA(教室申込!$C$4)=1),INDEX(展開用!$C$2:$C$601,MATCH(ROW()-1,展開用!$E$2:$E$601,0)),"")</f>
        <v/>
      </c>
      <c r="I32" s="11" t="str">
        <f>IF(AND(ROW()-1&lt;=教室申込!$K$5,教室申込!$K$7=0,COUNTA(教室申込!$C$4)=1),INDEX(展開用!$D$2:$D$601,MATCH(ROW()-1,展開用!$E$2:$E$601,0)),"")</f>
        <v/>
      </c>
      <c r="J32" s="11"/>
      <c r="K32" s="11"/>
      <c r="L32" s="11" t="str">
        <f>IF(AND(ROW()-1&lt;=教室申込!$K$5,教室申込!$K$7=0,COUNTA(教室申込!$C$4)=1),INDEX(教室申込!$B$1:$B$212,$AW32),"")</f>
        <v/>
      </c>
      <c r="M32" s="11" t="str">
        <f>IF(AND(ROW()-1&lt;=教室申込!$K$5,教室申込!$K$7=0,COUNTA(教室申込!$C$4)=1),INDEX(教室申込!$C$1:$C$212,$AW32),"")</f>
        <v/>
      </c>
      <c r="N32" s="11"/>
      <c r="O32" s="12" t="str">
        <f>IF(AND(ROW()-1&lt;=教室申込!$K$5,教室申込!$K$7=0,COUNTA(教室申込!$C$4)=1),INDEX(展開用!$G$2:$G$601,MATCH(ROW()-1,展開用!$E$2:$E$601,0)),"")</f>
        <v/>
      </c>
      <c r="P32" s="11"/>
      <c r="Q32" s="11"/>
      <c r="R32" s="11"/>
      <c r="S32" s="11"/>
      <c r="T32" s="11"/>
      <c r="U32" s="11" t="str">
        <f>IF(AND(ROW()-1&lt;=教室申込!$K$5,教室申込!$K$7=0,COUNTA(教室申込!$C$4)=1),INDEX(展開用!$F$2:$F$601,MATCH(ROW()-1,展開用!$E$2:$E$601,0)),"")</f>
        <v/>
      </c>
      <c r="V32" s="11"/>
      <c r="W32" s="11"/>
      <c r="X32" s="11"/>
      <c r="Y32" s="11"/>
      <c r="Z32" s="11"/>
      <c r="AA32" s="11" t="str">
        <f>IF($AW32="","",IF(INDEX(教室申込!$J$1:$J$212,$AW32)="","",INDEX(教室申込!$J$1:$J$212,$AW32)))</f>
        <v/>
      </c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" t="str">
        <f>IF(AND(ROW()-1&lt;=教室申込!$K$5,教室申込!$K$7=0,COUNTA(教室申込!$C$4)=1),INDEX(展開用!$B$2:$B$601,MATCH(ROW()-1,展開用!$E$2:$E$601,0)),"")</f>
        <v/>
      </c>
      <c r="AX32" s="1"/>
      <c r="AY32" s="1"/>
    </row>
    <row r="33" spans="1:51" ht="24" customHeight="1">
      <c r="A33" s="11"/>
      <c r="B33" s="11"/>
      <c r="C33" s="11"/>
      <c r="D33" s="11"/>
      <c r="E33" s="11"/>
      <c r="F33" s="11"/>
      <c r="G33" s="11"/>
      <c r="H33" s="11" t="str">
        <f>IF(AND(ROW()-1&lt;=教室申込!$K$5,教室申込!$K$7=0,COUNTA(教室申込!$C$4)=1),INDEX(展開用!$C$2:$C$601,MATCH(ROW()-1,展開用!$E$2:$E$601,0)),"")</f>
        <v/>
      </c>
      <c r="I33" s="11" t="str">
        <f>IF(AND(ROW()-1&lt;=教室申込!$K$5,教室申込!$K$7=0,COUNTA(教室申込!$C$4)=1),INDEX(展開用!$D$2:$D$601,MATCH(ROW()-1,展開用!$E$2:$E$601,0)),"")</f>
        <v/>
      </c>
      <c r="J33" s="11"/>
      <c r="K33" s="11"/>
      <c r="L33" s="11" t="str">
        <f>IF(AND(ROW()-1&lt;=教室申込!$K$5,教室申込!$K$7=0,COUNTA(教室申込!$C$4)=1),INDEX(教室申込!$B$1:$B$212,$AW33),"")</f>
        <v/>
      </c>
      <c r="M33" s="11" t="str">
        <f>IF(AND(ROW()-1&lt;=教室申込!$K$5,教室申込!$K$7=0,COUNTA(教室申込!$C$4)=1),INDEX(教室申込!$C$1:$C$212,$AW33),"")</f>
        <v/>
      </c>
      <c r="N33" s="11"/>
      <c r="O33" s="12" t="str">
        <f>IF(AND(ROW()-1&lt;=教室申込!$K$5,教室申込!$K$7=0,COUNTA(教室申込!$C$4)=1),INDEX(展開用!$G$2:$G$601,MATCH(ROW()-1,展開用!$E$2:$E$601,0)),"")</f>
        <v/>
      </c>
      <c r="P33" s="11"/>
      <c r="Q33" s="11"/>
      <c r="R33" s="11"/>
      <c r="S33" s="11"/>
      <c r="T33" s="11"/>
      <c r="U33" s="11" t="str">
        <f>IF(AND(ROW()-1&lt;=教室申込!$K$5,教室申込!$K$7=0,COUNTA(教室申込!$C$4)=1),INDEX(展開用!$F$2:$F$601,MATCH(ROW()-1,展開用!$E$2:$E$601,0)),"")</f>
        <v/>
      </c>
      <c r="V33" s="11"/>
      <c r="W33" s="11"/>
      <c r="X33" s="11"/>
      <c r="Y33" s="11"/>
      <c r="Z33" s="11"/>
      <c r="AA33" s="11" t="str">
        <f>IF($AW33="","",IF(INDEX(教室申込!$J$1:$J$212,$AW33)="","",INDEX(教室申込!$J$1:$J$212,$AW33)))</f>
        <v/>
      </c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" t="str">
        <f>IF(AND(ROW()-1&lt;=教室申込!$K$5,教室申込!$K$7=0,COUNTA(教室申込!$C$4)=1),INDEX(展開用!$B$2:$B$601,MATCH(ROW()-1,展開用!$E$2:$E$601,0)),"")</f>
        <v/>
      </c>
      <c r="AX33" s="1"/>
      <c r="AY33" s="1"/>
    </row>
    <row r="34" spans="1:51" ht="24" customHeight="1">
      <c r="A34" s="11"/>
      <c r="B34" s="11"/>
      <c r="C34" s="11"/>
      <c r="D34" s="11"/>
      <c r="E34" s="11"/>
      <c r="F34" s="11"/>
      <c r="G34" s="11"/>
      <c r="H34" s="11" t="str">
        <f>IF(AND(ROW()-1&lt;=教室申込!$K$5,教室申込!$K$7=0,COUNTA(教室申込!$C$4)=1),INDEX(展開用!$C$2:$C$601,MATCH(ROW()-1,展開用!$E$2:$E$601,0)),"")</f>
        <v/>
      </c>
      <c r="I34" s="11" t="str">
        <f>IF(AND(ROW()-1&lt;=教室申込!$K$5,教室申込!$K$7=0,COUNTA(教室申込!$C$4)=1),INDEX(展開用!$D$2:$D$601,MATCH(ROW()-1,展開用!$E$2:$E$601,0)),"")</f>
        <v/>
      </c>
      <c r="J34" s="11"/>
      <c r="K34" s="11"/>
      <c r="L34" s="11" t="str">
        <f>IF(AND(ROW()-1&lt;=教室申込!$K$5,教室申込!$K$7=0,COUNTA(教室申込!$C$4)=1),INDEX(教室申込!$B$1:$B$212,$AW34),"")</f>
        <v/>
      </c>
      <c r="M34" s="11" t="str">
        <f>IF(AND(ROW()-1&lt;=教室申込!$K$5,教室申込!$K$7=0,COUNTA(教室申込!$C$4)=1),INDEX(教室申込!$C$1:$C$212,$AW34),"")</f>
        <v/>
      </c>
      <c r="N34" s="11"/>
      <c r="O34" s="12" t="str">
        <f>IF(AND(ROW()-1&lt;=教室申込!$K$5,教室申込!$K$7=0,COUNTA(教室申込!$C$4)=1),INDEX(展開用!$G$2:$G$601,MATCH(ROW()-1,展開用!$E$2:$E$601,0)),"")</f>
        <v/>
      </c>
      <c r="P34" s="11"/>
      <c r="Q34" s="11"/>
      <c r="R34" s="11"/>
      <c r="S34" s="11"/>
      <c r="T34" s="11"/>
      <c r="U34" s="11" t="str">
        <f>IF(AND(ROW()-1&lt;=教室申込!$K$5,教室申込!$K$7=0,COUNTA(教室申込!$C$4)=1),INDEX(展開用!$F$2:$F$601,MATCH(ROW()-1,展開用!$E$2:$E$601,0)),"")</f>
        <v/>
      </c>
      <c r="V34" s="11"/>
      <c r="W34" s="11"/>
      <c r="X34" s="11"/>
      <c r="Y34" s="11"/>
      <c r="Z34" s="11"/>
      <c r="AA34" s="11" t="str">
        <f>IF($AW34="","",IF(INDEX(教室申込!$J$1:$J$212,$AW34)="","",INDEX(教室申込!$J$1:$J$212,$AW34)))</f>
        <v/>
      </c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" t="str">
        <f>IF(AND(ROW()-1&lt;=教室申込!$K$5,教室申込!$K$7=0,COUNTA(教室申込!$C$4)=1),INDEX(展開用!$B$2:$B$601,MATCH(ROW()-1,展開用!$E$2:$E$601,0)),"")</f>
        <v/>
      </c>
      <c r="AX34" s="1"/>
      <c r="AY34" s="1"/>
    </row>
    <row r="35" spans="1:51" ht="24" customHeight="1">
      <c r="A35" s="11"/>
      <c r="B35" s="11"/>
      <c r="C35" s="11"/>
      <c r="D35" s="11"/>
      <c r="E35" s="11"/>
      <c r="F35" s="11"/>
      <c r="G35" s="11"/>
      <c r="H35" s="11" t="str">
        <f>IF(AND(ROW()-1&lt;=教室申込!$K$5,教室申込!$K$7=0,COUNTA(教室申込!$C$4)=1),INDEX(展開用!$C$2:$C$601,MATCH(ROW()-1,展開用!$E$2:$E$601,0)),"")</f>
        <v/>
      </c>
      <c r="I35" s="11" t="str">
        <f>IF(AND(ROW()-1&lt;=教室申込!$K$5,教室申込!$K$7=0,COUNTA(教室申込!$C$4)=1),INDEX(展開用!$D$2:$D$601,MATCH(ROW()-1,展開用!$E$2:$E$601,0)),"")</f>
        <v/>
      </c>
      <c r="J35" s="11"/>
      <c r="K35" s="11"/>
      <c r="L35" s="11" t="str">
        <f>IF(AND(ROW()-1&lt;=教室申込!$K$5,教室申込!$K$7=0,COUNTA(教室申込!$C$4)=1),INDEX(教室申込!$B$1:$B$212,$AW35),"")</f>
        <v/>
      </c>
      <c r="M35" s="11" t="str">
        <f>IF(AND(ROW()-1&lt;=教室申込!$K$5,教室申込!$K$7=0,COUNTA(教室申込!$C$4)=1),INDEX(教室申込!$C$1:$C$212,$AW35),"")</f>
        <v/>
      </c>
      <c r="N35" s="11"/>
      <c r="O35" s="12" t="str">
        <f>IF(AND(ROW()-1&lt;=教室申込!$K$5,教室申込!$K$7=0,COUNTA(教室申込!$C$4)=1),INDEX(展開用!$G$2:$G$601,MATCH(ROW()-1,展開用!$E$2:$E$601,0)),"")</f>
        <v/>
      </c>
      <c r="P35" s="11"/>
      <c r="Q35" s="11"/>
      <c r="R35" s="11"/>
      <c r="S35" s="11"/>
      <c r="T35" s="11"/>
      <c r="U35" s="11" t="str">
        <f>IF(AND(ROW()-1&lt;=教室申込!$K$5,教室申込!$K$7=0,COUNTA(教室申込!$C$4)=1),INDEX(展開用!$F$2:$F$601,MATCH(ROW()-1,展開用!$E$2:$E$601,0)),"")</f>
        <v/>
      </c>
      <c r="V35" s="11"/>
      <c r="W35" s="11"/>
      <c r="X35" s="11"/>
      <c r="Y35" s="11"/>
      <c r="Z35" s="11"/>
      <c r="AA35" s="11" t="str">
        <f>IF($AW35="","",IF(INDEX(教室申込!$J$1:$J$212,$AW35)="","",INDEX(教室申込!$J$1:$J$212,$AW35)))</f>
        <v/>
      </c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" t="str">
        <f>IF(AND(ROW()-1&lt;=教室申込!$K$5,教室申込!$K$7=0,COUNTA(教室申込!$C$4)=1),INDEX(展開用!$B$2:$B$601,MATCH(ROW()-1,展開用!$E$2:$E$601,0)),"")</f>
        <v/>
      </c>
      <c r="AX35" s="1"/>
      <c r="AY35" s="1"/>
    </row>
    <row r="36" spans="1:51" ht="24" customHeight="1">
      <c r="A36" s="11"/>
      <c r="B36" s="11"/>
      <c r="C36" s="11"/>
      <c r="D36" s="11"/>
      <c r="E36" s="11"/>
      <c r="F36" s="11"/>
      <c r="G36" s="11"/>
      <c r="H36" s="11" t="str">
        <f>IF(AND(ROW()-1&lt;=教室申込!$K$5,教室申込!$K$7=0,COUNTA(教室申込!$C$4)=1),INDEX(展開用!$C$2:$C$601,MATCH(ROW()-1,展開用!$E$2:$E$601,0)),"")</f>
        <v/>
      </c>
      <c r="I36" s="11" t="str">
        <f>IF(AND(ROW()-1&lt;=教室申込!$K$5,教室申込!$K$7=0,COUNTA(教室申込!$C$4)=1),INDEX(展開用!$D$2:$D$601,MATCH(ROW()-1,展開用!$E$2:$E$601,0)),"")</f>
        <v/>
      </c>
      <c r="J36" s="11"/>
      <c r="K36" s="11"/>
      <c r="L36" s="11" t="str">
        <f>IF(AND(ROW()-1&lt;=教室申込!$K$5,教室申込!$K$7=0,COUNTA(教室申込!$C$4)=1),INDEX(教室申込!$B$1:$B$212,$AW36),"")</f>
        <v/>
      </c>
      <c r="M36" s="11" t="str">
        <f>IF(AND(ROW()-1&lt;=教室申込!$K$5,教室申込!$K$7=0,COUNTA(教室申込!$C$4)=1),INDEX(教室申込!$C$1:$C$212,$AW36),"")</f>
        <v/>
      </c>
      <c r="N36" s="11"/>
      <c r="O36" s="12" t="str">
        <f>IF(AND(ROW()-1&lt;=教室申込!$K$5,教室申込!$K$7=0,COUNTA(教室申込!$C$4)=1),INDEX(展開用!$G$2:$G$601,MATCH(ROW()-1,展開用!$E$2:$E$601,0)),"")</f>
        <v/>
      </c>
      <c r="P36" s="11"/>
      <c r="Q36" s="11"/>
      <c r="R36" s="11"/>
      <c r="S36" s="11"/>
      <c r="T36" s="11"/>
      <c r="U36" s="11" t="str">
        <f>IF(AND(ROW()-1&lt;=教室申込!$K$5,教室申込!$K$7=0,COUNTA(教室申込!$C$4)=1),INDEX(展開用!$F$2:$F$601,MATCH(ROW()-1,展開用!$E$2:$E$601,0)),"")</f>
        <v/>
      </c>
      <c r="V36" s="11"/>
      <c r="W36" s="11"/>
      <c r="X36" s="11"/>
      <c r="Y36" s="11"/>
      <c r="Z36" s="11"/>
      <c r="AA36" s="11" t="str">
        <f>IF($AW36="","",IF(INDEX(教室申込!$J$1:$J$212,$AW36)="","",INDEX(教室申込!$J$1:$J$212,$AW36)))</f>
        <v/>
      </c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" t="str">
        <f>IF(AND(ROW()-1&lt;=教室申込!$K$5,教室申込!$K$7=0,COUNTA(教室申込!$C$4)=1),INDEX(展開用!$B$2:$B$601,MATCH(ROW()-1,展開用!$E$2:$E$601,0)),"")</f>
        <v/>
      </c>
      <c r="AX36" s="1"/>
      <c r="AY36" s="1"/>
    </row>
    <row r="37" spans="1:51" ht="24" customHeight="1">
      <c r="A37" s="11"/>
      <c r="B37" s="11"/>
      <c r="C37" s="11"/>
      <c r="D37" s="11"/>
      <c r="E37" s="11"/>
      <c r="F37" s="11"/>
      <c r="G37" s="11"/>
      <c r="H37" s="11" t="str">
        <f>IF(AND(ROW()-1&lt;=教室申込!$K$5,教室申込!$K$7=0,COUNTA(教室申込!$C$4)=1),INDEX(展開用!$C$2:$C$601,MATCH(ROW()-1,展開用!$E$2:$E$601,0)),"")</f>
        <v/>
      </c>
      <c r="I37" s="11" t="str">
        <f>IF(AND(ROW()-1&lt;=教室申込!$K$5,教室申込!$K$7=0,COUNTA(教室申込!$C$4)=1),INDEX(展開用!$D$2:$D$601,MATCH(ROW()-1,展開用!$E$2:$E$601,0)),"")</f>
        <v/>
      </c>
      <c r="J37" s="11"/>
      <c r="K37" s="11"/>
      <c r="L37" s="11" t="str">
        <f>IF(AND(ROW()-1&lt;=教室申込!$K$5,教室申込!$K$7=0,COUNTA(教室申込!$C$4)=1),INDEX(教室申込!$B$1:$B$212,$AW37),"")</f>
        <v/>
      </c>
      <c r="M37" s="11" t="str">
        <f>IF(AND(ROW()-1&lt;=教室申込!$K$5,教室申込!$K$7=0,COUNTA(教室申込!$C$4)=1),INDEX(教室申込!$C$1:$C$212,$AW37),"")</f>
        <v/>
      </c>
      <c r="N37" s="11"/>
      <c r="O37" s="12" t="str">
        <f>IF(AND(ROW()-1&lt;=教室申込!$K$5,教室申込!$K$7=0,COUNTA(教室申込!$C$4)=1),INDEX(展開用!$G$2:$G$601,MATCH(ROW()-1,展開用!$E$2:$E$601,0)),"")</f>
        <v/>
      </c>
      <c r="P37" s="11"/>
      <c r="Q37" s="11"/>
      <c r="R37" s="11"/>
      <c r="S37" s="11"/>
      <c r="T37" s="11"/>
      <c r="U37" s="11" t="str">
        <f>IF(AND(ROW()-1&lt;=教室申込!$K$5,教室申込!$K$7=0,COUNTA(教室申込!$C$4)=1),INDEX(展開用!$F$2:$F$601,MATCH(ROW()-1,展開用!$E$2:$E$601,0)),"")</f>
        <v/>
      </c>
      <c r="V37" s="11"/>
      <c r="W37" s="11"/>
      <c r="X37" s="11"/>
      <c r="Y37" s="11"/>
      <c r="Z37" s="11"/>
      <c r="AA37" s="11" t="str">
        <f>IF($AW37="","",IF(INDEX(教室申込!$J$1:$J$212,$AW37)="","",INDEX(教室申込!$J$1:$J$212,$AW37)))</f>
        <v/>
      </c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" t="str">
        <f>IF(AND(ROW()-1&lt;=教室申込!$K$5,教室申込!$K$7=0,COUNTA(教室申込!$C$4)=1),INDEX(展開用!$B$2:$B$601,MATCH(ROW()-1,展開用!$E$2:$E$601,0)),"")</f>
        <v/>
      </c>
      <c r="AX37" s="1"/>
      <c r="AY37" s="1"/>
    </row>
    <row r="38" spans="1:51" ht="24" customHeight="1">
      <c r="A38" s="11"/>
      <c r="B38" s="11"/>
      <c r="C38" s="11"/>
      <c r="D38" s="11"/>
      <c r="E38" s="11"/>
      <c r="F38" s="11"/>
      <c r="G38" s="11"/>
      <c r="H38" s="11" t="str">
        <f>IF(AND(ROW()-1&lt;=教室申込!$K$5,教室申込!$K$7=0,COUNTA(教室申込!$C$4)=1),INDEX(展開用!$C$2:$C$601,MATCH(ROW()-1,展開用!$E$2:$E$601,0)),"")</f>
        <v/>
      </c>
      <c r="I38" s="11" t="str">
        <f>IF(AND(ROW()-1&lt;=教室申込!$K$5,教室申込!$K$7=0,COUNTA(教室申込!$C$4)=1),INDEX(展開用!$D$2:$D$601,MATCH(ROW()-1,展開用!$E$2:$E$601,0)),"")</f>
        <v/>
      </c>
      <c r="J38" s="11"/>
      <c r="K38" s="11"/>
      <c r="L38" s="11" t="str">
        <f>IF(AND(ROW()-1&lt;=教室申込!$K$5,教室申込!$K$7=0,COUNTA(教室申込!$C$4)=1),INDEX(教室申込!$B$1:$B$212,$AW38),"")</f>
        <v/>
      </c>
      <c r="M38" s="11" t="str">
        <f>IF(AND(ROW()-1&lt;=教室申込!$K$5,教室申込!$K$7=0,COUNTA(教室申込!$C$4)=1),INDEX(教室申込!$C$1:$C$212,$AW38),"")</f>
        <v/>
      </c>
      <c r="N38" s="11"/>
      <c r="O38" s="12" t="str">
        <f>IF(AND(ROW()-1&lt;=教室申込!$K$5,教室申込!$K$7=0,COUNTA(教室申込!$C$4)=1),INDEX(展開用!$G$2:$G$601,MATCH(ROW()-1,展開用!$E$2:$E$601,0)),"")</f>
        <v/>
      </c>
      <c r="P38" s="11"/>
      <c r="Q38" s="11"/>
      <c r="R38" s="11"/>
      <c r="S38" s="11"/>
      <c r="T38" s="11"/>
      <c r="U38" s="11" t="str">
        <f>IF(AND(ROW()-1&lt;=教室申込!$K$5,教室申込!$K$7=0,COUNTA(教室申込!$C$4)=1),INDEX(展開用!$F$2:$F$601,MATCH(ROW()-1,展開用!$E$2:$E$601,0)),"")</f>
        <v/>
      </c>
      <c r="V38" s="11"/>
      <c r="W38" s="11"/>
      <c r="X38" s="11"/>
      <c r="Y38" s="11"/>
      <c r="Z38" s="11"/>
      <c r="AA38" s="11" t="str">
        <f>IF($AW38="","",IF(INDEX(教室申込!$J$1:$J$212,$AW38)="","",INDEX(教室申込!$J$1:$J$212,$AW38)))</f>
        <v/>
      </c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" t="str">
        <f>IF(AND(ROW()-1&lt;=教室申込!$K$5,教室申込!$K$7=0,COUNTA(教室申込!$C$4)=1),INDEX(展開用!$B$2:$B$601,MATCH(ROW()-1,展開用!$E$2:$E$601,0)),"")</f>
        <v/>
      </c>
      <c r="AX38" s="1"/>
      <c r="AY38" s="1"/>
    </row>
    <row r="39" spans="1:51" ht="24" customHeight="1">
      <c r="A39" s="11"/>
      <c r="B39" s="11"/>
      <c r="C39" s="11"/>
      <c r="D39" s="11"/>
      <c r="E39" s="11"/>
      <c r="F39" s="11"/>
      <c r="G39" s="11"/>
      <c r="H39" s="11" t="str">
        <f>IF(AND(ROW()-1&lt;=教室申込!$K$5,教室申込!$K$7=0,COUNTA(教室申込!$C$4)=1),INDEX(展開用!$C$2:$C$601,MATCH(ROW()-1,展開用!$E$2:$E$601,0)),"")</f>
        <v/>
      </c>
      <c r="I39" s="11" t="str">
        <f>IF(AND(ROW()-1&lt;=教室申込!$K$5,教室申込!$K$7=0,COUNTA(教室申込!$C$4)=1),INDEX(展開用!$D$2:$D$601,MATCH(ROW()-1,展開用!$E$2:$E$601,0)),"")</f>
        <v/>
      </c>
      <c r="J39" s="11"/>
      <c r="K39" s="11"/>
      <c r="L39" s="11" t="str">
        <f>IF(AND(ROW()-1&lt;=教室申込!$K$5,教室申込!$K$7=0,COUNTA(教室申込!$C$4)=1),INDEX(教室申込!$B$1:$B$212,$AW39),"")</f>
        <v/>
      </c>
      <c r="M39" s="11" t="str">
        <f>IF(AND(ROW()-1&lt;=教室申込!$K$5,教室申込!$K$7=0,COUNTA(教室申込!$C$4)=1),INDEX(教室申込!$C$1:$C$212,$AW39),"")</f>
        <v/>
      </c>
      <c r="N39" s="11"/>
      <c r="O39" s="12" t="str">
        <f>IF(AND(ROW()-1&lt;=教室申込!$K$5,教室申込!$K$7=0,COUNTA(教室申込!$C$4)=1),INDEX(展開用!$G$2:$G$601,MATCH(ROW()-1,展開用!$E$2:$E$601,0)),"")</f>
        <v/>
      </c>
      <c r="P39" s="11"/>
      <c r="Q39" s="11"/>
      <c r="R39" s="11"/>
      <c r="S39" s="11"/>
      <c r="T39" s="11"/>
      <c r="U39" s="11" t="str">
        <f>IF(AND(ROW()-1&lt;=教室申込!$K$5,教室申込!$K$7=0,COUNTA(教室申込!$C$4)=1),INDEX(展開用!$F$2:$F$601,MATCH(ROW()-1,展開用!$E$2:$E$601,0)),"")</f>
        <v/>
      </c>
      <c r="V39" s="11"/>
      <c r="W39" s="11"/>
      <c r="X39" s="11"/>
      <c r="Y39" s="11"/>
      <c r="Z39" s="11"/>
      <c r="AA39" s="11" t="str">
        <f>IF($AW39="","",IF(INDEX(教室申込!$J$1:$J$212,$AW39)="","",INDEX(教室申込!$J$1:$J$212,$AW39)))</f>
        <v/>
      </c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" t="str">
        <f>IF(AND(ROW()-1&lt;=教室申込!$K$5,教室申込!$K$7=0,COUNTA(教室申込!$C$4)=1),INDEX(展開用!$B$2:$B$601,MATCH(ROW()-1,展開用!$E$2:$E$601,0)),"")</f>
        <v/>
      </c>
      <c r="AX39" s="1"/>
      <c r="AY39" s="1"/>
    </row>
    <row r="40" spans="1:51" ht="24" customHeight="1">
      <c r="A40" s="11"/>
      <c r="B40" s="11"/>
      <c r="C40" s="11"/>
      <c r="D40" s="11"/>
      <c r="E40" s="11"/>
      <c r="F40" s="11"/>
      <c r="G40" s="11"/>
      <c r="H40" s="11" t="str">
        <f>IF(AND(ROW()-1&lt;=教室申込!$K$5,教室申込!$K$7=0,COUNTA(教室申込!$C$4)=1),INDEX(展開用!$C$2:$C$601,MATCH(ROW()-1,展開用!$E$2:$E$601,0)),"")</f>
        <v/>
      </c>
      <c r="I40" s="11" t="str">
        <f>IF(AND(ROW()-1&lt;=教室申込!$K$5,教室申込!$K$7=0,COUNTA(教室申込!$C$4)=1),INDEX(展開用!$D$2:$D$601,MATCH(ROW()-1,展開用!$E$2:$E$601,0)),"")</f>
        <v/>
      </c>
      <c r="J40" s="11"/>
      <c r="K40" s="11"/>
      <c r="L40" s="11" t="str">
        <f>IF(AND(ROW()-1&lt;=教室申込!$K$5,教室申込!$K$7=0,COUNTA(教室申込!$C$4)=1),INDEX(教室申込!$B$1:$B$212,$AW40),"")</f>
        <v/>
      </c>
      <c r="M40" s="11" t="str">
        <f>IF(AND(ROW()-1&lt;=教室申込!$K$5,教室申込!$K$7=0,COUNTA(教室申込!$C$4)=1),INDEX(教室申込!$C$1:$C$212,$AW40),"")</f>
        <v/>
      </c>
      <c r="N40" s="11"/>
      <c r="O40" s="12" t="str">
        <f>IF(AND(ROW()-1&lt;=教室申込!$K$5,教室申込!$K$7=0,COUNTA(教室申込!$C$4)=1),INDEX(展開用!$G$2:$G$601,MATCH(ROW()-1,展開用!$E$2:$E$601,0)),"")</f>
        <v/>
      </c>
      <c r="P40" s="11"/>
      <c r="Q40" s="11"/>
      <c r="R40" s="11"/>
      <c r="S40" s="11"/>
      <c r="T40" s="11"/>
      <c r="U40" s="11" t="str">
        <f>IF(AND(ROW()-1&lt;=教室申込!$K$5,教室申込!$K$7=0,COUNTA(教室申込!$C$4)=1),INDEX(展開用!$F$2:$F$601,MATCH(ROW()-1,展開用!$E$2:$E$601,0)),"")</f>
        <v/>
      </c>
      <c r="V40" s="11"/>
      <c r="W40" s="11"/>
      <c r="X40" s="11"/>
      <c r="Y40" s="11"/>
      <c r="Z40" s="11"/>
      <c r="AA40" s="11" t="str">
        <f>IF($AW40="","",IF(INDEX(教室申込!$J$1:$J$212,$AW40)="","",INDEX(教室申込!$J$1:$J$212,$AW40)))</f>
        <v/>
      </c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" t="str">
        <f>IF(AND(ROW()-1&lt;=教室申込!$K$5,教室申込!$K$7=0,COUNTA(教室申込!$C$4)=1),INDEX(展開用!$B$2:$B$601,MATCH(ROW()-1,展開用!$E$2:$E$601,0)),"")</f>
        <v/>
      </c>
      <c r="AX40" s="1"/>
      <c r="AY40" s="1"/>
    </row>
    <row r="41" spans="1:51" ht="24" customHeight="1">
      <c r="A41" s="11"/>
      <c r="B41" s="11"/>
      <c r="C41" s="11"/>
      <c r="D41" s="11"/>
      <c r="E41" s="11"/>
      <c r="F41" s="11"/>
      <c r="G41" s="11"/>
      <c r="H41" s="11" t="str">
        <f>IF(AND(ROW()-1&lt;=教室申込!$K$5,教室申込!$K$7=0,COUNTA(教室申込!$C$4)=1),INDEX(展開用!$C$2:$C$601,MATCH(ROW()-1,展開用!$E$2:$E$601,0)),"")</f>
        <v/>
      </c>
      <c r="I41" s="11" t="str">
        <f>IF(AND(ROW()-1&lt;=教室申込!$K$5,教室申込!$K$7=0,COUNTA(教室申込!$C$4)=1),INDEX(展開用!$D$2:$D$601,MATCH(ROW()-1,展開用!$E$2:$E$601,0)),"")</f>
        <v/>
      </c>
      <c r="J41" s="11"/>
      <c r="K41" s="11"/>
      <c r="L41" s="11" t="str">
        <f>IF(AND(ROW()-1&lt;=教室申込!$K$5,教室申込!$K$7=0,COUNTA(教室申込!$C$4)=1),INDEX(教室申込!$B$1:$B$212,$AW41),"")</f>
        <v/>
      </c>
      <c r="M41" s="11" t="str">
        <f>IF(AND(ROW()-1&lt;=教室申込!$K$5,教室申込!$K$7=0,COUNTA(教室申込!$C$4)=1),INDEX(教室申込!$C$1:$C$212,$AW41),"")</f>
        <v/>
      </c>
      <c r="N41" s="11"/>
      <c r="O41" s="12" t="str">
        <f>IF(AND(ROW()-1&lt;=教室申込!$K$5,教室申込!$K$7=0,COUNTA(教室申込!$C$4)=1),INDEX(展開用!$G$2:$G$601,MATCH(ROW()-1,展開用!$E$2:$E$601,0)),"")</f>
        <v/>
      </c>
      <c r="P41" s="11"/>
      <c r="Q41" s="11"/>
      <c r="R41" s="11"/>
      <c r="S41" s="11"/>
      <c r="T41" s="11"/>
      <c r="U41" s="11" t="str">
        <f>IF(AND(ROW()-1&lt;=教室申込!$K$5,教室申込!$K$7=0,COUNTA(教室申込!$C$4)=1),INDEX(展開用!$F$2:$F$601,MATCH(ROW()-1,展開用!$E$2:$E$601,0)),"")</f>
        <v/>
      </c>
      <c r="V41" s="11"/>
      <c r="W41" s="11"/>
      <c r="X41" s="11"/>
      <c r="Y41" s="11"/>
      <c r="Z41" s="11"/>
      <c r="AA41" s="11" t="str">
        <f>IF($AW41="","",IF(INDEX(教室申込!$J$1:$J$212,$AW41)="","",INDEX(教室申込!$J$1:$J$212,$AW41)))</f>
        <v/>
      </c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" t="str">
        <f>IF(AND(ROW()-1&lt;=教室申込!$K$5,教室申込!$K$7=0,COUNTA(教室申込!$C$4)=1),INDEX(展開用!$B$2:$B$601,MATCH(ROW()-1,展開用!$E$2:$E$601,0)),"")</f>
        <v/>
      </c>
      <c r="AX41" s="1"/>
      <c r="AY41" s="1"/>
    </row>
    <row r="42" spans="1:51" ht="24" customHeight="1">
      <c r="A42" s="11"/>
      <c r="B42" s="11"/>
      <c r="C42" s="11"/>
      <c r="D42" s="11"/>
      <c r="E42" s="11"/>
      <c r="F42" s="11"/>
      <c r="G42" s="11"/>
      <c r="H42" s="11" t="str">
        <f>IF(AND(ROW()-1&lt;=教室申込!$K$5,教室申込!$K$7=0,COUNTA(教室申込!$C$4)=1),INDEX(展開用!$C$2:$C$601,MATCH(ROW()-1,展開用!$E$2:$E$601,0)),"")</f>
        <v/>
      </c>
      <c r="I42" s="11" t="str">
        <f>IF(AND(ROW()-1&lt;=教室申込!$K$5,教室申込!$K$7=0,COUNTA(教室申込!$C$4)=1),INDEX(展開用!$D$2:$D$601,MATCH(ROW()-1,展開用!$E$2:$E$601,0)),"")</f>
        <v/>
      </c>
      <c r="J42" s="11"/>
      <c r="K42" s="11"/>
      <c r="L42" s="11" t="str">
        <f>IF(AND(ROW()-1&lt;=教室申込!$K$5,教室申込!$K$7=0,COUNTA(教室申込!$C$4)=1),INDEX(教室申込!$B$1:$B$212,$AW42),"")</f>
        <v/>
      </c>
      <c r="M42" s="11" t="str">
        <f>IF(AND(ROW()-1&lt;=教室申込!$K$5,教室申込!$K$7=0,COUNTA(教室申込!$C$4)=1),INDEX(教室申込!$C$1:$C$212,$AW42),"")</f>
        <v/>
      </c>
      <c r="N42" s="11"/>
      <c r="O42" s="12" t="str">
        <f>IF(AND(ROW()-1&lt;=教室申込!$K$5,教室申込!$K$7=0,COUNTA(教室申込!$C$4)=1),INDEX(展開用!$G$2:$G$601,MATCH(ROW()-1,展開用!$E$2:$E$601,0)),"")</f>
        <v/>
      </c>
      <c r="P42" s="11"/>
      <c r="Q42" s="11"/>
      <c r="R42" s="11"/>
      <c r="S42" s="11"/>
      <c r="T42" s="11"/>
      <c r="U42" s="11" t="str">
        <f>IF(AND(ROW()-1&lt;=教室申込!$K$5,教室申込!$K$7=0,COUNTA(教室申込!$C$4)=1),INDEX(展開用!$F$2:$F$601,MATCH(ROW()-1,展開用!$E$2:$E$601,0)),"")</f>
        <v/>
      </c>
      <c r="V42" s="11"/>
      <c r="W42" s="11"/>
      <c r="X42" s="11"/>
      <c r="Y42" s="11"/>
      <c r="Z42" s="11"/>
      <c r="AA42" s="11" t="str">
        <f>IF($AW42="","",IF(INDEX(教室申込!$J$1:$J$212,$AW42)="","",INDEX(教室申込!$J$1:$J$212,$AW42)))</f>
        <v/>
      </c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" t="str">
        <f>IF(AND(ROW()-1&lt;=教室申込!$K$5,教室申込!$K$7=0,COUNTA(教室申込!$C$4)=1),INDEX(展開用!$B$2:$B$601,MATCH(ROW()-1,展開用!$E$2:$E$601,0)),"")</f>
        <v/>
      </c>
      <c r="AX42" s="1"/>
      <c r="AY42" s="1"/>
    </row>
    <row r="43" spans="1:51" ht="24" customHeight="1">
      <c r="A43" s="11"/>
      <c r="B43" s="11"/>
      <c r="C43" s="11"/>
      <c r="D43" s="11"/>
      <c r="E43" s="11"/>
      <c r="F43" s="11"/>
      <c r="G43" s="11"/>
      <c r="H43" s="11" t="str">
        <f>IF(AND(ROW()-1&lt;=教室申込!$K$5,教室申込!$K$7=0,COUNTA(教室申込!$C$4)=1),INDEX(展開用!$C$2:$C$601,MATCH(ROW()-1,展開用!$E$2:$E$601,0)),"")</f>
        <v/>
      </c>
      <c r="I43" s="11" t="str">
        <f>IF(AND(ROW()-1&lt;=教室申込!$K$5,教室申込!$K$7=0,COUNTA(教室申込!$C$4)=1),INDEX(展開用!$D$2:$D$601,MATCH(ROW()-1,展開用!$E$2:$E$601,0)),"")</f>
        <v/>
      </c>
      <c r="J43" s="11"/>
      <c r="K43" s="11"/>
      <c r="L43" s="11" t="str">
        <f>IF(AND(ROW()-1&lt;=教室申込!$K$5,教室申込!$K$7=0,COUNTA(教室申込!$C$4)=1),INDEX(教室申込!$B$1:$B$212,$AW43),"")</f>
        <v/>
      </c>
      <c r="M43" s="11" t="str">
        <f>IF(AND(ROW()-1&lt;=教室申込!$K$5,教室申込!$K$7=0,COUNTA(教室申込!$C$4)=1),INDEX(教室申込!$C$1:$C$212,$AW43),"")</f>
        <v/>
      </c>
      <c r="N43" s="11"/>
      <c r="O43" s="12" t="str">
        <f>IF(AND(ROW()-1&lt;=教室申込!$K$5,教室申込!$K$7=0,COUNTA(教室申込!$C$4)=1),INDEX(展開用!$G$2:$G$601,MATCH(ROW()-1,展開用!$E$2:$E$601,0)),"")</f>
        <v/>
      </c>
      <c r="P43" s="11"/>
      <c r="Q43" s="11"/>
      <c r="R43" s="11"/>
      <c r="S43" s="11"/>
      <c r="T43" s="11"/>
      <c r="U43" s="11" t="str">
        <f>IF(AND(ROW()-1&lt;=教室申込!$K$5,教室申込!$K$7=0,COUNTA(教室申込!$C$4)=1),INDEX(展開用!$F$2:$F$601,MATCH(ROW()-1,展開用!$E$2:$E$601,0)),"")</f>
        <v/>
      </c>
      <c r="V43" s="11"/>
      <c r="W43" s="11"/>
      <c r="X43" s="11"/>
      <c r="Y43" s="11"/>
      <c r="Z43" s="11"/>
      <c r="AA43" s="11" t="str">
        <f>IF($AW43="","",IF(INDEX(教室申込!$J$1:$J$212,$AW43)="","",INDEX(教室申込!$J$1:$J$212,$AW43)))</f>
        <v/>
      </c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" t="str">
        <f>IF(AND(ROW()-1&lt;=教室申込!$K$5,教室申込!$K$7=0,COUNTA(教室申込!$C$4)=1),INDEX(展開用!$B$2:$B$601,MATCH(ROW()-1,展開用!$E$2:$E$601,0)),"")</f>
        <v/>
      </c>
      <c r="AX43" s="1"/>
      <c r="AY43" s="1"/>
    </row>
    <row r="44" spans="1:51" ht="24" customHeight="1">
      <c r="A44" s="11"/>
      <c r="B44" s="11"/>
      <c r="C44" s="11"/>
      <c r="D44" s="11"/>
      <c r="E44" s="11"/>
      <c r="F44" s="11"/>
      <c r="G44" s="11"/>
      <c r="H44" s="11" t="str">
        <f>IF(AND(ROW()-1&lt;=教室申込!$K$5,教室申込!$K$7=0,COUNTA(教室申込!$C$4)=1),INDEX(展開用!$C$2:$C$601,MATCH(ROW()-1,展開用!$E$2:$E$601,0)),"")</f>
        <v/>
      </c>
      <c r="I44" s="11" t="str">
        <f>IF(AND(ROW()-1&lt;=教室申込!$K$5,教室申込!$K$7=0,COUNTA(教室申込!$C$4)=1),INDEX(展開用!$D$2:$D$601,MATCH(ROW()-1,展開用!$E$2:$E$601,0)),"")</f>
        <v/>
      </c>
      <c r="J44" s="11"/>
      <c r="K44" s="11"/>
      <c r="L44" s="11" t="str">
        <f>IF(AND(ROW()-1&lt;=教室申込!$K$5,教室申込!$K$7=0,COUNTA(教室申込!$C$4)=1),INDEX(教室申込!$B$1:$B$212,$AW44),"")</f>
        <v/>
      </c>
      <c r="M44" s="11" t="str">
        <f>IF(AND(ROW()-1&lt;=教室申込!$K$5,教室申込!$K$7=0,COUNTA(教室申込!$C$4)=1),INDEX(教室申込!$C$1:$C$212,$AW44),"")</f>
        <v/>
      </c>
      <c r="N44" s="11"/>
      <c r="O44" s="12" t="str">
        <f>IF(AND(ROW()-1&lt;=教室申込!$K$5,教室申込!$K$7=0,COUNTA(教室申込!$C$4)=1),INDEX(展開用!$G$2:$G$601,MATCH(ROW()-1,展開用!$E$2:$E$601,0)),"")</f>
        <v/>
      </c>
      <c r="P44" s="11"/>
      <c r="Q44" s="11"/>
      <c r="R44" s="11"/>
      <c r="S44" s="11"/>
      <c r="T44" s="11"/>
      <c r="U44" s="11" t="str">
        <f>IF(AND(ROW()-1&lt;=教室申込!$K$5,教室申込!$K$7=0,COUNTA(教室申込!$C$4)=1),INDEX(展開用!$F$2:$F$601,MATCH(ROW()-1,展開用!$E$2:$E$601,0)),"")</f>
        <v/>
      </c>
      <c r="V44" s="11"/>
      <c r="W44" s="11"/>
      <c r="X44" s="11"/>
      <c r="Y44" s="11"/>
      <c r="Z44" s="11"/>
      <c r="AA44" s="11" t="str">
        <f>IF($AW44="","",IF(INDEX(教室申込!$J$1:$J$212,$AW44)="","",INDEX(教室申込!$J$1:$J$212,$AW44)))</f>
        <v/>
      </c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" t="str">
        <f>IF(AND(ROW()-1&lt;=教室申込!$K$5,教室申込!$K$7=0,COUNTA(教室申込!$C$4)=1),INDEX(展開用!$B$2:$B$601,MATCH(ROW()-1,展開用!$E$2:$E$601,0)),"")</f>
        <v/>
      </c>
      <c r="AX44" s="1"/>
      <c r="AY44" s="1"/>
    </row>
    <row r="45" spans="1:51" ht="24" customHeight="1">
      <c r="A45" s="11"/>
      <c r="B45" s="11"/>
      <c r="C45" s="11"/>
      <c r="D45" s="11"/>
      <c r="E45" s="11"/>
      <c r="F45" s="11"/>
      <c r="G45" s="11"/>
      <c r="H45" s="11" t="str">
        <f>IF(AND(ROW()-1&lt;=教室申込!$K$5,教室申込!$K$7=0,COUNTA(教室申込!$C$4)=1),INDEX(展開用!$C$2:$C$601,MATCH(ROW()-1,展開用!$E$2:$E$601,0)),"")</f>
        <v/>
      </c>
      <c r="I45" s="11" t="str">
        <f>IF(AND(ROW()-1&lt;=教室申込!$K$5,教室申込!$K$7=0,COUNTA(教室申込!$C$4)=1),INDEX(展開用!$D$2:$D$601,MATCH(ROW()-1,展開用!$E$2:$E$601,0)),"")</f>
        <v/>
      </c>
      <c r="J45" s="11"/>
      <c r="K45" s="11"/>
      <c r="L45" s="11" t="str">
        <f>IF(AND(ROW()-1&lt;=教室申込!$K$5,教室申込!$K$7=0,COUNTA(教室申込!$C$4)=1),INDEX(教室申込!$B$1:$B$212,$AW45),"")</f>
        <v/>
      </c>
      <c r="M45" s="11" t="str">
        <f>IF(AND(ROW()-1&lt;=教室申込!$K$5,教室申込!$K$7=0,COUNTA(教室申込!$C$4)=1),INDEX(教室申込!$C$1:$C$212,$AW45),"")</f>
        <v/>
      </c>
      <c r="N45" s="11"/>
      <c r="O45" s="12" t="str">
        <f>IF(AND(ROW()-1&lt;=教室申込!$K$5,教室申込!$K$7=0,COUNTA(教室申込!$C$4)=1),INDEX(展開用!$G$2:$G$601,MATCH(ROW()-1,展開用!$E$2:$E$601,0)),"")</f>
        <v/>
      </c>
      <c r="P45" s="11"/>
      <c r="Q45" s="11"/>
      <c r="R45" s="11"/>
      <c r="S45" s="11"/>
      <c r="T45" s="11"/>
      <c r="U45" s="11" t="str">
        <f>IF(AND(ROW()-1&lt;=教室申込!$K$5,教室申込!$K$7=0,COUNTA(教室申込!$C$4)=1),INDEX(展開用!$F$2:$F$601,MATCH(ROW()-1,展開用!$E$2:$E$601,0)),"")</f>
        <v/>
      </c>
      <c r="V45" s="11"/>
      <c r="W45" s="11"/>
      <c r="X45" s="11"/>
      <c r="Y45" s="11"/>
      <c r="Z45" s="11"/>
      <c r="AA45" s="11" t="str">
        <f>IF($AW45="","",IF(INDEX(教室申込!$J$1:$J$212,$AW45)="","",INDEX(教室申込!$J$1:$J$212,$AW45)))</f>
        <v/>
      </c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" t="str">
        <f>IF(AND(ROW()-1&lt;=教室申込!$K$5,教室申込!$K$7=0,COUNTA(教室申込!$C$4)=1),INDEX(展開用!$B$2:$B$601,MATCH(ROW()-1,展開用!$E$2:$E$601,0)),"")</f>
        <v/>
      </c>
      <c r="AX45" s="1"/>
      <c r="AY45" s="1"/>
    </row>
    <row r="46" spans="1:51" ht="24" customHeight="1">
      <c r="A46" s="11"/>
      <c r="B46" s="11"/>
      <c r="C46" s="11"/>
      <c r="D46" s="11"/>
      <c r="E46" s="11"/>
      <c r="F46" s="11"/>
      <c r="G46" s="11"/>
      <c r="H46" s="11" t="str">
        <f>IF(AND(ROW()-1&lt;=教室申込!$K$5,教室申込!$K$7=0,COUNTA(教室申込!$C$4)=1),INDEX(展開用!$C$2:$C$601,MATCH(ROW()-1,展開用!$E$2:$E$601,0)),"")</f>
        <v/>
      </c>
      <c r="I46" s="11" t="str">
        <f>IF(AND(ROW()-1&lt;=教室申込!$K$5,教室申込!$K$7=0,COUNTA(教室申込!$C$4)=1),INDEX(展開用!$D$2:$D$601,MATCH(ROW()-1,展開用!$E$2:$E$601,0)),"")</f>
        <v/>
      </c>
      <c r="J46" s="11"/>
      <c r="K46" s="11"/>
      <c r="L46" s="11" t="str">
        <f>IF(AND(ROW()-1&lt;=教室申込!$K$5,教室申込!$K$7=0,COUNTA(教室申込!$C$4)=1),INDEX(教室申込!$B$1:$B$212,$AW46),"")</f>
        <v/>
      </c>
      <c r="M46" s="11" t="str">
        <f>IF(AND(ROW()-1&lt;=教室申込!$K$5,教室申込!$K$7=0,COUNTA(教室申込!$C$4)=1),INDEX(教室申込!$C$1:$C$212,$AW46),"")</f>
        <v/>
      </c>
      <c r="N46" s="11"/>
      <c r="O46" s="12" t="str">
        <f>IF(AND(ROW()-1&lt;=教室申込!$K$5,教室申込!$K$7=0,COUNTA(教室申込!$C$4)=1),INDEX(展開用!$G$2:$G$601,MATCH(ROW()-1,展開用!$E$2:$E$601,0)),"")</f>
        <v/>
      </c>
      <c r="P46" s="11"/>
      <c r="Q46" s="11"/>
      <c r="R46" s="11"/>
      <c r="S46" s="11"/>
      <c r="T46" s="11"/>
      <c r="U46" s="11" t="str">
        <f>IF(AND(ROW()-1&lt;=教室申込!$K$5,教室申込!$K$7=0,COUNTA(教室申込!$C$4)=1),INDEX(展開用!$F$2:$F$601,MATCH(ROW()-1,展開用!$E$2:$E$601,0)),"")</f>
        <v/>
      </c>
      <c r="V46" s="11"/>
      <c r="W46" s="11"/>
      <c r="X46" s="11"/>
      <c r="Y46" s="11"/>
      <c r="Z46" s="11"/>
      <c r="AA46" s="11" t="str">
        <f>IF($AW46="","",IF(INDEX(教室申込!$J$1:$J$212,$AW46)="","",INDEX(教室申込!$J$1:$J$212,$AW46)))</f>
        <v/>
      </c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" t="str">
        <f>IF(AND(ROW()-1&lt;=教室申込!$K$5,教室申込!$K$7=0,COUNTA(教室申込!$C$4)=1),INDEX(展開用!$B$2:$B$601,MATCH(ROW()-1,展開用!$E$2:$E$601,0)),"")</f>
        <v/>
      </c>
      <c r="AX46" s="1"/>
      <c r="AY46" s="1"/>
    </row>
    <row r="47" spans="1:51" ht="24" customHeight="1">
      <c r="A47" s="11"/>
      <c r="B47" s="11"/>
      <c r="C47" s="11"/>
      <c r="D47" s="11"/>
      <c r="E47" s="11"/>
      <c r="F47" s="11"/>
      <c r="G47" s="11"/>
      <c r="H47" s="11" t="str">
        <f>IF(AND(ROW()-1&lt;=教室申込!$K$5,教室申込!$K$7=0,COUNTA(教室申込!$C$4)=1),INDEX(展開用!$C$2:$C$601,MATCH(ROW()-1,展開用!$E$2:$E$601,0)),"")</f>
        <v/>
      </c>
      <c r="I47" s="11" t="str">
        <f>IF(AND(ROW()-1&lt;=教室申込!$K$5,教室申込!$K$7=0,COUNTA(教室申込!$C$4)=1),INDEX(展開用!$D$2:$D$601,MATCH(ROW()-1,展開用!$E$2:$E$601,0)),"")</f>
        <v/>
      </c>
      <c r="J47" s="11"/>
      <c r="K47" s="11"/>
      <c r="L47" s="11" t="str">
        <f>IF(AND(ROW()-1&lt;=教室申込!$K$5,教室申込!$K$7=0,COUNTA(教室申込!$C$4)=1),INDEX(教室申込!$B$1:$B$212,$AW47),"")</f>
        <v/>
      </c>
      <c r="M47" s="11" t="str">
        <f>IF(AND(ROW()-1&lt;=教室申込!$K$5,教室申込!$K$7=0,COUNTA(教室申込!$C$4)=1),INDEX(教室申込!$C$1:$C$212,$AW47),"")</f>
        <v/>
      </c>
      <c r="N47" s="11"/>
      <c r="O47" s="12" t="str">
        <f>IF(AND(ROW()-1&lt;=教室申込!$K$5,教室申込!$K$7=0,COUNTA(教室申込!$C$4)=1),INDEX(展開用!$G$2:$G$601,MATCH(ROW()-1,展開用!$E$2:$E$601,0)),"")</f>
        <v/>
      </c>
      <c r="P47" s="11"/>
      <c r="Q47" s="11"/>
      <c r="R47" s="11"/>
      <c r="S47" s="11"/>
      <c r="T47" s="11"/>
      <c r="U47" s="11" t="str">
        <f>IF(AND(ROW()-1&lt;=教室申込!$K$5,教室申込!$K$7=0,COUNTA(教室申込!$C$4)=1),INDEX(展開用!$F$2:$F$601,MATCH(ROW()-1,展開用!$E$2:$E$601,0)),"")</f>
        <v/>
      </c>
      <c r="V47" s="11"/>
      <c r="W47" s="11"/>
      <c r="X47" s="11"/>
      <c r="Y47" s="11"/>
      <c r="Z47" s="11"/>
      <c r="AA47" s="11" t="str">
        <f>IF($AW47="","",IF(INDEX(教室申込!$J$1:$J$212,$AW47)="","",INDEX(教室申込!$J$1:$J$212,$AW47)))</f>
        <v/>
      </c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" t="str">
        <f>IF(AND(ROW()-1&lt;=教室申込!$K$5,教室申込!$K$7=0,COUNTA(教室申込!$C$4)=1),INDEX(展開用!$B$2:$B$601,MATCH(ROW()-1,展開用!$E$2:$E$601,0)),"")</f>
        <v/>
      </c>
      <c r="AX47" s="1"/>
      <c r="AY47" s="1"/>
    </row>
    <row r="48" spans="1:51" ht="24" customHeight="1">
      <c r="A48" s="11"/>
      <c r="B48" s="11"/>
      <c r="C48" s="11"/>
      <c r="D48" s="11"/>
      <c r="E48" s="11"/>
      <c r="F48" s="11"/>
      <c r="G48" s="11"/>
      <c r="H48" s="11" t="str">
        <f>IF(AND(ROW()-1&lt;=教室申込!$K$5,教室申込!$K$7=0,COUNTA(教室申込!$C$4)=1),INDEX(展開用!$C$2:$C$601,MATCH(ROW()-1,展開用!$E$2:$E$601,0)),"")</f>
        <v/>
      </c>
      <c r="I48" s="11" t="str">
        <f>IF(AND(ROW()-1&lt;=教室申込!$K$5,教室申込!$K$7=0,COUNTA(教室申込!$C$4)=1),INDEX(展開用!$D$2:$D$601,MATCH(ROW()-1,展開用!$E$2:$E$601,0)),"")</f>
        <v/>
      </c>
      <c r="J48" s="11"/>
      <c r="K48" s="11"/>
      <c r="L48" s="11" t="str">
        <f>IF(AND(ROW()-1&lt;=教室申込!$K$5,教室申込!$K$7=0,COUNTA(教室申込!$C$4)=1),INDEX(教室申込!$B$1:$B$212,$AW48),"")</f>
        <v/>
      </c>
      <c r="M48" s="11" t="str">
        <f>IF(AND(ROW()-1&lt;=教室申込!$K$5,教室申込!$K$7=0,COUNTA(教室申込!$C$4)=1),INDEX(教室申込!$C$1:$C$212,$AW48),"")</f>
        <v/>
      </c>
      <c r="N48" s="11"/>
      <c r="O48" s="12" t="str">
        <f>IF(AND(ROW()-1&lt;=教室申込!$K$5,教室申込!$K$7=0,COUNTA(教室申込!$C$4)=1),INDEX(展開用!$G$2:$G$601,MATCH(ROW()-1,展開用!$E$2:$E$601,0)),"")</f>
        <v/>
      </c>
      <c r="P48" s="11"/>
      <c r="Q48" s="11"/>
      <c r="R48" s="11"/>
      <c r="S48" s="11"/>
      <c r="T48" s="11"/>
      <c r="U48" s="11" t="str">
        <f>IF(AND(ROW()-1&lt;=教室申込!$K$5,教室申込!$K$7=0,COUNTA(教室申込!$C$4)=1),INDEX(展開用!$F$2:$F$601,MATCH(ROW()-1,展開用!$E$2:$E$601,0)),"")</f>
        <v/>
      </c>
      <c r="V48" s="11"/>
      <c r="W48" s="11"/>
      <c r="X48" s="11"/>
      <c r="Y48" s="11"/>
      <c r="Z48" s="11"/>
      <c r="AA48" s="11" t="str">
        <f>IF($AW48="","",IF(INDEX(教室申込!$J$1:$J$212,$AW48)="","",INDEX(教室申込!$J$1:$J$212,$AW48)))</f>
        <v/>
      </c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" t="str">
        <f>IF(AND(ROW()-1&lt;=教室申込!$K$5,教室申込!$K$7=0,COUNTA(教室申込!$C$4)=1),INDEX(展開用!$B$2:$B$601,MATCH(ROW()-1,展開用!$E$2:$E$601,0)),"")</f>
        <v/>
      </c>
      <c r="AX48" s="1"/>
      <c r="AY48" s="1"/>
    </row>
    <row r="49" spans="1:51" ht="24" customHeight="1">
      <c r="A49" s="11"/>
      <c r="B49" s="11"/>
      <c r="C49" s="11"/>
      <c r="D49" s="11"/>
      <c r="E49" s="11"/>
      <c r="F49" s="11"/>
      <c r="G49" s="11"/>
      <c r="H49" s="11" t="str">
        <f>IF(AND(ROW()-1&lt;=教室申込!$K$5,教室申込!$K$7=0,COUNTA(教室申込!$C$4)=1),INDEX(展開用!$C$2:$C$601,MATCH(ROW()-1,展開用!$E$2:$E$601,0)),"")</f>
        <v/>
      </c>
      <c r="I49" s="11" t="str">
        <f>IF(AND(ROW()-1&lt;=教室申込!$K$5,教室申込!$K$7=0,COUNTA(教室申込!$C$4)=1),INDEX(展開用!$D$2:$D$601,MATCH(ROW()-1,展開用!$E$2:$E$601,0)),"")</f>
        <v/>
      </c>
      <c r="J49" s="11"/>
      <c r="K49" s="11"/>
      <c r="L49" s="11" t="str">
        <f>IF(AND(ROW()-1&lt;=教室申込!$K$5,教室申込!$K$7=0,COUNTA(教室申込!$C$4)=1),INDEX(教室申込!$B$1:$B$212,$AW49),"")</f>
        <v/>
      </c>
      <c r="M49" s="11" t="str">
        <f>IF(AND(ROW()-1&lt;=教室申込!$K$5,教室申込!$K$7=0,COUNTA(教室申込!$C$4)=1),INDEX(教室申込!$C$1:$C$212,$AW49),"")</f>
        <v/>
      </c>
      <c r="N49" s="11"/>
      <c r="O49" s="12" t="str">
        <f>IF(AND(ROW()-1&lt;=教室申込!$K$5,教室申込!$K$7=0,COUNTA(教室申込!$C$4)=1),INDEX(展開用!$G$2:$G$601,MATCH(ROW()-1,展開用!$E$2:$E$601,0)),"")</f>
        <v/>
      </c>
      <c r="P49" s="11"/>
      <c r="Q49" s="11"/>
      <c r="R49" s="11"/>
      <c r="S49" s="11"/>
      <c r="T49" s="11"/>
      <c r="U49" s="11" t="str">
        <f>IF(AND(ROW()-1&lt;=教室申込!$K$5,教室申込!$K$7=0,COUNTA(教室申込!$C$4)=1),INDEX(展開用!$F$2:$F$601,MATCH(ROW()-1,展開用!$E$2:$E$601,0)),"")</f>
        <v/>
      </c>
      <c r="V49" s="11"/>
      <c r="W49" s="11"/>
      <c r="X49" s="11"/>
      <c r="Y49" s="11"/>
      <c r="Z49" s="11"/>
      <c r="AA49" s="11" t="str">
        <f>IF($AW49="","",IF(INDEX(教室申込!$J$1:$J$212,$AW49)="","",INDEX(教室申込!$J$1:$J$212,$AW49)))</f>
        <v/>
      </c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" t="str">
        <f>IF(AND(ROW()-1&lt;=教室申込!$K$5,教室申込!$K$7=0,COUNTA(教室申込!$C$4)=1),INDEX(展開用!$B$2:$B$601,MATCH(ROW()-1,展開用!$E$2:$E$601,0)),"")</f>
        <v/>
      </c>
      <c r="AX49" s="1"/>
      <c r="AY49" s="1"/>
    </row>
    <row r="50" spans="1:51" ht="24" customHeight="1">
      <c r="A50" s="11"/>
      <c r="B50" s="11"/>
      <c r="C50" s="11"/>
      <c r="D50" s="11"/>
      <c r="E50" s="11"/>
      <c r="F50" s="11"/>
      <c r="G50" s="11"/>
      <c r="H50" s="11" t="str">
        <f>IF(AND(ROW()-1&lt;=教室申込!$K$5,教室申込!$K$7=0,COUNTA(教室申込!$C$4)=1),INDEX(展開用!$C$2:$C$601,MATCH(ROW()-1,展開用!$E$2:$E$601,0)),"")</f>
        <v/>
      </c>
      <c r="I50" s="11" t="str">
        <f>IF(AND(ROW()-1&lt;=教室申込!$K$5,教室申込!$K$7=0,COUNTA(教室申込!$C$4)=1),INDEX(展開用!$D$2:$D$601,MATCH(ROW()-1,展開用!$E$2:$E$601,0)),"")</f>
        <v/>
      </c>
      <c r="J50" s="11"/>
      <c r="K50" s="11"/>
      <c r="L50" s="11" t="str">
        <f>IF(AND(ROW()-1&lt;=教室申込!$K$5,教室申込!$K$7=0,COUNTA(教室申込!$C$4)=1),INDEX(教室申込!$B$1:$B$212,$AW50),"")</f>
        <v/>
      </c>
      <c r="M50" s="11" t="str">
        <f>IF(AND(ROW()-1&lt;=教室申込!$K$5,教室申込!$K$7=0,COUNTA(教室申込!$C$4)=1),INDEX(教室申込!$C$1:$C$212,$AW50),"")</f>
        <v/>
      </c>
      <c r="N50" s="11"/>
      <c r="O50" s="12" t="str">
        <f>IF(AND(ROW()-1&lt;=教室申込!$K$5,教室申込!$K$7=0,COUNTA(教室申込!$C$4)=1),INDEX(展開用!$G$2:$G$601,MATCH(ROW()-1,展開用!$E$2:$E$601,0)),"")</f>
        <v/>
      </c>
      <c r="P50" s="11"/>
      <c r="Q50" s="11"/>
      <c r="R50" s="11"/>
      <c r="S50" s="11"/>
      <c r="T50" s="11"/>
      <c r="U50" s="11" t="str">
        <f>IF(AND(ROW()-1&lt;=教室申込!$K$5,教室申込!$K$7=0,COUNTA(教室申込!$C$4)=1),INDEX(展開用!$F$2:$F$601,MATCH(ROW()-1,展開用!$E$2:$E$601,0)),"")</f>
        <v/>
      </c>
      <c r="V50" s="11"/>
      <c r="W50" s="11"/>
      <c r="X50" s="11"/>
      <c r="Y50" s="11"/>
      <c r="Z50" s="11"/>
      <c r="AA50" s="11" t="str">
        <f>IF($AW50="","",IF(INDEX(教室申込!$J$1:$J$212,$AW50)="","",INDEX(教室申込!$J$1:$J$212,$AW50)))</f>
        <v/>
      </c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" t="str">
        <f>IF(AND(ROW()-1&lt;=教室申込!$K$5,教室申込!$K$7=0,COUNTA(教室申込!$C$4)=1),INDEX(展開用!$B$2:$B$601,MATCH(ROW()-1,展開用!$E$2:$E$601,0)),"")</f>
        <v/>
      </c>
      <c r="AX50" s="1"/>
      <c r="AY50" s="1"/>
    </row>
    <row r="51" spans="1:51" ht="24" customHeight="1">
      <c r="A51" s="11"/>
      <c r="B51" s="11"/>
      <c r="C51" s="11"/>
      <c r="D51" s="11"/>
      <c r="E51" s="11"/>
      <c r="F51" s="11"/>
      <c r="G51" s="11"/>
      <c r="H51" s="11" t="str">
        <f>IF(AND(ROW()-1&lt;=教室申込!$K$5,教室申込!$K$7=0,COUNTA(教室申込!$C$4)=1),INDEX(展開用!$C$2:$C$601,MATCH(ROW()-1,展開用!$E$2:$E$601,0)),"")</f>
        <v/>
      </c>
      <c r="I51" s="11" t="str">
        <f>IF(AND(ROW()-1&lt;=教室申込!$K$5,教室申込!$K$7=0,COUNTA(教室申込!$C$4)=1),INDEX(展開用!$D$2:$D$601,MATCH(ROW()-1,展開用!$E$2:$E$601,0)),"")</f>
        <v/>
      </c>
      <c r="J51" s="11"/>
      <c r="K51" s="11"/>
      <c r="L51" s="11" t="str">
        <f>IF(AND(ROW()-1&lt;=教室申込!$K$5,教室申込!$K$7=0,COUNTA(教室申込!$C$4)=1),INDEX(教室申込!$B$1:$B$212,$AW51),"")</f>
        <v/>
      </c>
      <c r="M51" s="11" t="str">
        <f>IF(AND(ROW()-1&lt;=教室申込!$K$5,教室申込!$K$7=0,COUNTA(教室申込!$C$4)=1),INDEX(教室申込!$C$1:$C$212,$AW51),"")</f>
        <v/>
      </c>
      <c r="N51" s="11"/>
      <c r="O51" s="12" t="str">
        <f>IF(AND(ROW()-1&lt;=教室申込!$K$5,教室申込!$K$7=0,COUNTA(教室申込!$C$4)=1),INDEX(展開用!$G$2:$G$601,MATCH(ROW()-1,展開用!$E$2:$E$601,0)),"")</f>
        <v/>
      </c>
      <c r="P51" s="11"/>
      <c r="Q51" s="11"/>
      <c r="R51" s="11"/>
      <c r="S51" s="11"/>
      <c r="T51" s="11"/>
      <c r="U51" s="11" t="str">
        <f>IF(AND(ROW()-1&lt;=教室申込!$K$5,教室申込!$K$7=0,COUNTA(教室申込!$C$4)=1),INDEX(展開用!$F$2:$F$601,MATCH(ROW()-1,展開用!$E$2:$E$601,0)),"")</f>
        <v/>
      </c>
      <c r="V51" s="11"/>
      <c r="W51" s="11"/>
      <c r="X51" s="11"/>
      <c r="Y51" s="11"/>
      <c r="Z51" s="11"/>
      <c r="AA51" s="11" t="str">
        <f>IF($AW51="","",IF(INDEX(教室申込!$J$1:$J$212,$AW51)="","",INDEX(教室申込!$J$1:$J$212,$AW51)))</f>
        <v/>
      </c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" t="str">
        <f>IF(AND(ROW()-1&lt;=教室申込!$K$5,教室申込!$K$7=0,COUNTA(教室申込!$C$4)=1),INDEX(展開用!$B$2:$B$601,MATCH(ROW()-1,展開用!$E$2:$E$601,0)),"")</f>
        <v/>
      </c>
      <c r="AX51" s="1"/>
      <c r="AY51" s="1"/>
    </row>
    <row r="52" spans="1:51" ht="24" customHeight="1">
      <c r="A52" s="11"/>
      <c r="B52" s="11"/>
      <c r="C52" s="11"/>
      <c r="D52" s="11"/>
      <c r="E52" s="11"/>
      <c r="F52" s="11"/>
      <c r="G52" s="11"/>
      <c r="H52" s="11" t="str">
        <f>IF(AND(ROW()-1&lt;=教室申込!$K$5,教室申込!$K$7=0,COUNTA(教室申込!$C$4)=1),INDEX(展開用!$C$2:$C$601,MATCH(ROW()-1,展開用!$E$2:$E$601,0)),"")</f>
        <v/>
      </c>
      <c r="I52" s="11" t="str">
        <f>IF(AND(ROW()-1&lt;=教室申込!$K$5,教室申込!$K$7=0,COUNTA(教室申込!$C$4)=1),INDEX(展開用!$D$2:$D$601,MATCH(ROW()-1,展開用!$E$2:$E$601,0)),"")</f>
        <v/>
      </c>
      <c r="J52" s="11"/>
      <c r="K52" s="11"/>
      <c r="L52" s="11" t="str">
        <f>IF(AND(ROW()-1&lt;=教室申込!$K$5,教室申込!$K$7=0,COUNTA(教室申込!$C$4)=1),INDEX(教室申込!$B$1:$B$212,$AW52),"")</f>
        <v/>
      </c>
      <c r="M52" s="11" t="str">
        <f>IF(AND(ROW()-1&lt;=教室申込!$K$5,教室申込!$K$7=0,COUNTA(教室申込!$C$4)=1),INDEX(教室申込!$C$1:$C$212,$AW52),"")</f>
        <v/>
      </c>
      <c r="N52" s="11"/>
      <c r="O52" s="12" t="str">
        <f>IF(AND(ROW()-1&lt;=教室申込!$K$5,教室申込!$K$7=0,COUNTA(教室申込!$C$4)=1),INDEX(展開用!$G$2:$G$601,MATCH(ROW()-1,展開用!$E$2:$E$601,0)),"")</f>
        <v/>
      </c>
      <c r="P52" s="11"/>
      <c r="Q52" s="11"/>
      <c r="R52" s="11"/>
      <c r="S52" s="11"/>
      <c r="T52" s="11"/>
      <c r="U52" s="11" t="str">
        <f>IF(AND(ROW()-1&lt;=教室申込!$K$5,教室申込!$K$7=0,COUNTA(教室申込!$C$4)=1),INDEX(展開用!$F$2:$F$601,MATCH(ROW()-1,展開用!$E$2:$E$601,0)),"")</f>
        <v/>
      </c>
      <c r="V52" s="11"/>
      <c r="W52" s="11"/>
      <c r="X52" s="11"/>
      <c r="Y52" s="11"/>
      <c r="Z52" s="11"/>
      <c r="AA52" s="11" t="str">
        <f>IF($AW52="","",IF(INDEX(教室申込!$J$1:$J$212,$AW52)="","",INDEX(教室申込!$J$1:$J$212,$AW52)))</f>
        <v/>
      </c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" t="str">
        <f>IF(AND(ROW()-1&lt;=教室申込!$K$5,教室申込!$K$7=0,COUNTA(教室申込!$C$4)=1),INDEX(展開用!$B$2:$B$601,MATCH(ROW()-1,展開用!$E$2:$E$601,0)),"")</f>
        <v/>
      </c>
      <c r="AX52" s="1"/>
      <c r="AY52" s="1"/>
    </row>
    <row r="53" spans="1:51" ht="24" customHeight="1">
      <c r="A53" s="11"/>
      <c r="B53" s="11"/>
      <c r="C53" s="11"/>
      <c r="D53" s="11"/>
      <c r="E53" s="11"/>
      <c r="F53" s="11"/>
      <c r="G53" s="11"/>
      <c r="H53" s="11" t="str">
        <f>IF(AND(ROW()-1&lt;=教室申込!$K$5,教室申込!$K$7=0,COUNTA(教室申込!$C$4)=1),INDEX(展開用!$C$2:$C$601,MATCH(ROW()-1,展開用!$E$2:$E$601,0)),"")</f>
        <v/>
      </c>
      <c r="I53" s="11" t="str">
        <f>IF(AND(ROW()-1&lt;=教室申込!$K$5,教室申込!$K$7=0,COUNTA(教室申込!$C$4)=1),INDEX(展開用!$D$2:$D$601,MATCH(ROW()-1,展開用!$E$2:$E$601,0)),"")</f>
        <v/>
      </c>
      <c r="J53" s="11"/>
      <c r="K53" s="11"/>
      <c r="L53" s="11" t="str">
        <f>IF(AND(ROW()-1&lt;=教室申込!$K$5,教室申込!$K$7=0,COUNTA(教室申込!$C$4)=1),INDEX(教室申込!$B$1:$B$212,$AW53),"")</f>
        <v/>
      </c>
      <c r="M53" s="11" t="str">
        <f>IF(AND(ROW()-1&lt;=教室申込!$K$5,教室申込!$K$7=0,COUNTA(教室申込!$C$4)=1),INDEX(教室申込!$C$1:$C$212,$AW53),"")</f>
        <v/>
      </c>
      <c r="N53" s="11"/>
      <c r="O53" s="12" t="str">
        <f>IF(AND(ROW()-1&lt;=教室申込!$K$5,教室申込!$K$7=0,COUNTA(教室申込!$C$4)=1),INDEX(展開用!$G$2:$G$601,MATCH(ROW()-1,展開用!$E$2:$E$601,0)),"")</f>
        <v/>
      </c>
      <c r="P53" s="11"/>
      <c r="Q53" s="11"/>
      <c r="R53" s="11"/>
      <c r="S53" s="11"/>
      <c r="T53" s="11"/>
      <c r="U53" s="11" t="str">
        <f>IF(AND(ROW()-1&lt;=教室申込!$K$5,教室申込!$K$7=0,COUNTA(教室申込!$C$4)=1),INDEX(展開用!$F$2:$F$601,MATCH(ROW()-1,展開用!$E$2:$E$601,0)),"")</f>
        <v/>
      </c>
      <c r="V53" s="11"/>
      <c r="W53" s="11"/>
      <c r="X53" s="11"/>
      <c r="Y53" s="11"/>
      <c r="Z53" s="11"/>
      <c r="AA53" s="11" t="str">
        <f>IF($AW53="","",IF(INDEX(教室申込!$J$1:$J$212,$AW53)="","",INDEX(教室申込!$J$1:$J$212,$AW53)))</f>
        <v/>
      </c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" t="str">
        <f>IF(AND(ROW()-1&lt;=教室申込!$K$5,教室申込!$K$7=0,COUNTA(教室申込!$C$4)=1),INDEX(展開用!$B$2:$B$601,MATCH(ROW()-1,展開用!$E$2:$E$601,0)),"")</f>
        <v/>
      </c>
      <c r="AX53" s="1"/>
      <c r="AY53" s="1"/>
    </row>
    <row r="54" spans="1:51" ht="24" customHeight="1">
      <c r="A54" s="11"/>
      <c r="B54" s="11"/>
      <c r="C54" s="11"/>
      <c r="D54" s="11"/>
      <c r="E54" s="11"/>
      <c r="F54" s="11"/>
      <c r="G54" s="11"/>
      <c r="H54" s="11" t="str">
        <f>IF(AND(ROW()-1&lt;=教室申込!$K$5,教室申込!$K$7=0,COUNTA(教室申込!$C$4)=1),INDEX(展開用!$C$2:$C$601,MATCH(ROW()-1,展開用!$E$2:$E$601,0)),"")</f>
        <v/>
      </c>
      <c r="I54" s="11" t="str">
        <f>IF(AND(ROW()-1&lt;=教室申込!$K$5,教室申込!$K$7=0,COUNTA(教室申込!$C$4)=1),INDEX(展開用!$D$2:$D$601,MATCH(ROW()-1,展開用!$E$2:$E$601,0)),"")</f>
        <v/>
      </c>
      <c r="J54" s="11"/>
      <c r="K54" s="11"/>
      <c r="L54" s="11" t="str">
        <f>IF(AND(ROW()-1&lt;=教室申込!$K$5,教室申込!$K$7=0,COUNTA(教室申込!$C$4)=1),INDEX(教室申込!$B$1:$B$212,$AW54),"")</f>
        <v/>
      </c>
      <c r="M54" s="11" t="str">
        <f>IF(AND(ROW()-1&lt;=教室申込!$K$5,教室申込!$K$7=0,COUNTA(教室申込!$C$4)=1),INDEX(教室申込!$C$1:$C$212,$AW54),"")</f>
        <v/>
      </c>
      <c r="N54" s="11"/>
      <c r="O54" s="12" t="str">
        <f>IF(AND(ROW()-1&lt;=教室申込!$K$5,教室申込!$K$7=0,COUNTA(教室申込!$C$4)=1),INDEX(展開用!$G$2:$G$601,MATCH(ROW()-1,展開用!$E$2:$E$601,0)),"")</f>
        <v/>
      </c>
      <c r="P54" s="11"/>
      <c r="Q54" s="11"/>
      <c r="R54" s="11"/>
      <c r="S54" s="11"/>
      <c r="T54" s="11"/>
      <c r="U54" s="11" t="str">
        <f>IF(AND(ROW()-1&lt;=教室申込!$K$5,教室申込!$K$7=0,COUNTA(教室申込!$C$4)=1),INDEX(展開用!$F$2:$F$601,MATCH(ROW()-1,展開用!$E$2:$E$601,0)),"")</f>
        <v/>
      </c>
      <c r="V54" s="11"/>
      <c r="W54" s="11"/>
      <c r="X54" s="11"/>
      <c r="Y54" s="11"/>
      <c r="Z54" s="11"/>
      <c r="AA54" s="11" t="str">
        <f>IF($AW54="","",IF(INDEX(教室申込!$J$1:$J$212,$AW54)="","",INDEX(教室申込!$J$1:$J$212,$AW54)))</f>
        <v/>
      </c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" t="str">
        <f>IF(AND(ROW()-1&lt;=教室申込!$K$5,教室申込!$K$7=0,COUNTA(教室申込!$C$4)=1),INDEX(展開用!$B$2:$B$601,MATCH(ROW()-1,展開用!$E$2:$E$601,0)),"")</f>
        <v/>
      </c>
      <c r="AX54" s="1"/>
      <c r="AY54" s="1"/>
    </row>
    <row r="55" spans="1:51" ht="24" customHeight="1">
      <c r="A55" s="11"/>
      <c r="B55" s="11"/>
      <c r="C55" s="11"/>
      <c r="D55" s="11"/>
      <c r="E55" s="11"/>
      <c r="F55" s="11"/>
      <c r="G55" s="11"/>
      <c r="H55" s="11" t="str">
        <f>IF(AND(ROW()-1&lt;=教室申込!$K$5,教室申込!$K$7=0,COUNTA(教室申込!$C$4)=1),INDEX(展開用!$C$2:$C$601,MATCH(ROW()-1,展開用!$E$2:$E$601,0)),"")</f>
        <v/>
      </c>
      <c r="I55" s="11" t="str">
        <f>IF(AND(ROW()-1&lt;=教室申込!$K$5,教室申込!$K$7=0,COUNTA(教室申込!$C$4)=1),INDEX(展開用!$D$2:$D$601,MATCH(ROW()-1,展開用!$E$2:$E$601,0)),"")</f>
        <v/>
      </c>
      <c r="J55" s="11"/>
      <c r="K55" s="11"/>
      <c r="L55" s="11" t="str">
        <f>IF(AND(ROW()-1&lt;=教室申込!$K$5,教室申込!$K$7=0,COUNTA(教室申込!$C$4)=1),INDEX(教室申込!$B$1:$B$212,$AW55),"")</f>
        <v/>
      </c>
      <c r="M55" s="11" t="str">
        <f>IF(AND(ROW()-1&lt;=教室申込!$K$5,教室申込!$K$7=0,COUNTA(教室申込!$C$4)=1),INDEX(教室申込!$C$1:$C$212,$AW55),"")</f>
        <v/>
      </c>
      <c r="N55" s="11"/>
      <c r="O55" s="12" t="str">
        <f>IF(AND(ROW()-1&lt;=教室申込!$K$5,教室申込!$K$7=0,COUNTA(教室申込!$C$4)=1),INDEX(展開用!$G$2:$G$601,MATCH(ROW()-1,展開用!$E$2:$E$601,0)),"")</f>
        <v/>
      </c>
      <c r="P55" s="11"/>
      <c r="Q55" s="11"/>
      <c r="R55" s="11"/>
      <c r="S55" s="11"/>
      <c r="T55" s="11"/>
      <c r="U55" s="11" t="str">
        <f>IF(AND(ROW()-1&lt;=教室申込!$K$5,教室申込!$K$7=0,COUNTA(教室申込!$C$4)=1),INDEX(展開用!$F$2:$F$601,MATCH(ROW()-1,展開用!$E$2:$E$601,0)),"")</f>
        <v/>
      </c>
      <c r="V55" s="11"/>
      <c r="W55" s="11"/>
      <c r="X55" s="11"/>
      <c r="Y55" s="11"/>
      <c r="Z55" s="11"/>
      <c r="AA55" s="11" t="str">
        <f>IF($AW55="","",IF(INDEX(教室申込!$J$1:$J$212,$AW55)="","",INDEX(教室申込!$J$1:$J$212,$AW55)))</f>
        <v/>
      </c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" t="str">
        <f>IF(AND(ROW()-1&lt;=教室申込!$K$5,教室申込!$K$7=0,COUNTA(教室申込!$C$4)=1),INDEX(展開用!$B$2:$B$601,MATCH(ROW()-1,展開用!$E$2:$E$601,0)),"")</f>
        <v/>
      </c>
      <c r="AX55" s="1"/>
      <c r="AY55" s="1"/>
    </row>
    <row r="56" spans="1:51" ht="24" customHeight="1">
      <c r="A56" s="11"/>
      <c r="B56" s="11"/>
      <c r="C56" s="11"/>
      <c r="D56" s="11"/>
      <c r="E56" s="11"/>
      <c r="F56" s="11"/>
      <c r="G56" s="11"/>
      <c r="H56" s="11" t="str">
        <f>IF(AND(ROW()-1&lt;=教室申込!$K$5,教室申込!$K$7=0,COUNTA(教室申込!$C$4)=1),INDEX(展開用!$C$2:$C$601,MATCH(ROW()-1,展開用!$E$2:$E$601,0)),"")</f>
        <v/>
      </c>
      <c r="I56" s="11" t="str">
        <f>IF(AND(ROW()-1&lt;=教室申込!$K$5,教室申込!$K$7=0,COUNTA(教室申込!$C$4)=1),INDEX(展開用!$D$2:$D$601,MATCH(ROW()-1,展開用!$E$2:$E$601,0)),"")</f>
        <v/>
      </c>
      <c r="J56" s="11"/>
      <c r="K56" s="11"/>
      <c r="L56" s="11" t="str">
        <f>IF(AND(ROW()-1&lt;=教室申込!$K$5,教室申込!$K$7=0,COUNTA(教室申込!$C$4)=1),INDEX(教室申込!$B$1:$B$212,$AW56),"")</f>
        <v/>
      </c>
      <c r="M56" s="11" t="str">
        <f>IF(AND(ROW()-1&lt;=教室申込!$K$5,教室申込!$K$7=0,COUNTA(教室申込!$C$4)=1),INDEX(教室申込!$C$1:$C$212,$AW56),"")</f>
        <v/>
      </c>
      <c r="N56" s="11"/>
      <c r="O56" s="12" t="str">
        <f>IF(AND(ROW()-1&lt;=教室申込!$K$5,教室申込!$K$7=0,COUNTA(教室申込!$C$4)=1),INDEX(展開用!$G$2:$G$601,MATCH(ROW()-1,展開用!$E$2:$E$601,0)),"")</f>
        <v/>
      </c>
      <c r="P56" s="11"/>
      <c r="Q56" s="11"/>
      <c r="R56" s="11"/>
      <c r="S56" s="11"/>
      <c r="T56" s="11"/>
      <c r="U56" s="11" t="str">
        <f>IF(AND(ROW()-1&lt;=教室申込!$K$5,教室申込!$K$7=0,COUNTA(教室申込!$C$4)=1),INDEX(展開用!$F$2:$F$601,MATCH(ROW()-1,展開用!$E$2:$E$601,0)),"")</f>
        <v/>
      </c>
      <c r="V56" s="11"/>
      <c r="W56" s="11"/>
      <c r="X56" s="11"/>
      <c r="Y56" s="11"/>
      <c r="Z56" s="11"/>
      <c r="AA56" s="11" t="str">
        <f>IF($AW56="","",IF(INDEX(教室申込!$J$1:$J$212,$AW56)="","",INDEX(教室申込!$J$1:$J$212,$AW56)))</f>
        <v/>
      </c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" t="str">
        <f>IF(AND(ROW()-1&lt;=教室申込!$K$5,教室申込!$K$7=0,COUNTA(教室申込!$C$4)=1),INDEX(展開用!$B$2:$B$601,MATCH(ROW()-1,展開用!$E$2:$E$601,0)),"")</f>
        <v/>
      </c>
      <c r="AX56" s="1"/>
      <c r="AY56" s="1"/>
    </row>
    <row r="57" spans="1:51" ht="24" customHeight="1">
      <c r="A57" s="11"/>
      <c r="B57" s="11"/>
      <c r="C57" s="11"/>
      <c r="D57" s="11"/>
      <c r="E57" s="11"/>
      <c r="F57" s="11"/>
      <c r="G57" s="11"/>
      <c r="H57" s="11" t="str">
        <f>IF(AND(ROW()-1&lt;=教室申込!$K$5,教室申込!$K$7=0,COUNTA(教室申込!$C$4)=1),INDEX(展開用!$C$2:$C$601,MATCH(ROW()-1,展開用!$E$2:$E$601,0)),"")</f>
        <v/>
      </c>
      <c r="I57" s="11" t="str">
        <f>IF(AND(ROW()-1&lt;=教室申込!$K$5,教室申込!$K$7=0,COUNTA(教室申込!$C$4)=1),INDEX(展開用!$D$2:$D$601,MATCH(ROW()-1,展開用!$E$2:$E$601,0)),"")</f>
        <v/>
      </c>
      <c r="J57" s="11"/>
      <c r="K57" s="11"/>
      <c r="L57" s="11" t="str">
        <f>IF(AND(ROW()-1&lt;=教室申込!$K$5,教室申込!$K$7=0,COUNTA(教室申込!$C$4)=1),INDEX(教室申込!$B$1:$B$212,$AW57),"")</f>
        <v/>
      </c>
      <c r="M57" s="11" t="str">
        <f>IF(AND(ROW()-1&lt;=教室申込!$K$5,教室申込!$K$7=0,COUNTA(教室申込!$C$4)=1),INDEX(教室申込!$C$1:$C$212,$AW57),"")</f>
        <v/>
      </c>
      <c r="N57" s="11"/>
      <c r="O57" s="12" t="str">
        <f>IF(AND(ROW()-1&lt;=教室申込!$K$5,教室申込!$K$7=0,COUNTA(教室申込!$C$4)=1),INDEX(展開用!$G$2:$G$601,MATCH(ROW()-1,展開用!$E$2:$E$601,0)),"")</f>
        <v/>
      </c>
      <c r="P57" s="11"/>
      <c r="Q57" s="11"/>
      <c r="R57" s="11"/>
      <c r="S57" s="11"/>
      <c r="T57" s="11"/>
      <c r="U57" s="11" t="str">
        <f>IF(AND(ROW()-1&lt;=教室申込!$K$5,教室申込!$K$7=0,COUNTA(教室申込!$C$4)=1),INDEX(展開用!$F$2:$F$601,MATCH(ROW()-1,展開用!$E$2:$E$601,0)),"")</f>
        <v/>
      </c>
      <c r="V57" s="11"/>
      <c r="W57" s="11"/>
      <c r="X57" s="11"/>
      <c r="Y57" s="11"/>
      <c r="Z57" s="11"/>
      <c r="AA57" s="11" t="str">
        <f>IF($AW57="","",IF(INDEX(教室申込!$J$1:$J$212,$AW57)="","",INDEX(教室申込!$J$1:$J$212,$AW57)))</f>
        <v/>
      </c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" t="str">
        <f>IF(AND(ROW()-1&lt;=教室申込!$K$5,教室申込!$K$7=0,COUNTA(教室申込!$C$4)=1),INDEX(展開用!$B$2:$B$601,MATCH(ROW()-1,展開用!$E$2:$E$601,0)),"")</f>
        <v/>
      </c>
      <c r="AX57" s="1"/>
      <c r="AY57" s="1"/>
    </row>
    <row r="58" spans="1:51" ht="24" customHeight="1">
      <c r="A58" s="11"/>
      <c r="B58" s="11"/>
      <c r="C58" s="11"/>
      <c r="D58" s="11"/>
      <c r="E58" s="11"/>
      <c r="F58" s="11"/>
      <c r="G58" s="11"/>
      <c r="H58" s="11" t="str">
        <f>IF(AND(ROW()-1&lt;=教室申込!$K$5,教室申込!$K$7=0,COUNTA(教室申込!$C$4)=1),INDEX(展開用!$C$2:$C$601,MATCH(ROW()-1,展開用!$E$2:$E$601,0)),"")</f>
        <v/>
      </c>
      <c r="I58" s="11" t="str">
        <f>IF(AND(ROW()-1&lt;=教室申込!$K$5,教室申込!$K$7=0,COUNTA(教室申込!$C$4)=1),INDEX(展開用!$D$2:$D$601,MATCH(ROW()-1,展開用!$E$2:$E$601,0)),"")</f>
        <v/>
      </c>
      <c r="J58" s="11"/>
      <c r="K58" s="11"/>
      <c r="L58" s="11" t="str">
        <f>IF(AND(ROW()-1&lt;=教室申込!$K$5,教室申込!$K$7=0,COUNTA(教室申込!$C$4)=1),INDEX(教室申込!$B$1:$B$212,$AW58),"")</f>
        <v/>
      </c>
      <c r="M58" s="11" t="str">
        <f>IF(AND(ROW()-1&lt;=教室申込!$K$5,教室申込!$K$7=0,COUNTA(教室申込!$C$4)=1),INDEX(教室申込!$C$1:$C$212,$AW58),"")</f>
        <v/>
      </c>
      <c r="N58" s="11"/>
      <c r="O58" s="12" t="str">
        <f>IF(AND(ROW()-1&lt;=教室申込!$K$5,教室申込!$K$7=0,COUNTA(教室申込!$C$4)=1),INDEX(展開用!$G$2:$G$601,MATCH(ROW()-1,展開用!$E$2:$E$601,0)),"")</f>
        <v/>
      </c>
      <c r="P58" s="11"/>
      <c r="Q58" s="11"/>
      <c r="R58" s="11"/>
      <c r="S58" s="11"/>
      <c r="T58" s="11"/>
      <c r="U58" s="11" t="str">
        <f>IF(AND(ROW()-1&lt;=教室申込!$K$5,教室申込!$K$7=0,COUNTA(教室申込!$C$4)=1),INDEX(展開用!$F$2:$F$601,MATCH(ROW()-1,展開用!$E$2:$E$601,0)),"")</f>
        <v/>
      </c>
      <c r="V58" s="11"/>
      <c r="W58" s="11"/>
      <c r="X58" s="11"/>
      <c r="Y58" s="11"/>
      <c r="Z58" s="11"/>
      <c r="AA58" s="11" t="str">
        <f>IF($AW58="","",IF(INDEX(教室申込!$J$1:$J$212,$AW58)="","",INDEX(教室申込!$J$1:$J$212,$AW58)))</f>
        <v/>
      </c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" t="str">
        <f>IF(AND(ROW()-1&lt;=教室申込!$K$5,教室申込!$K$7=0,COUNTA(教室申込!$C$4)=1),INDEX(展開用!$B$2:$B$601,MATCH(ROW()-1,展開用!$E$2:$E$601,0)),"")</f>
        <v/>
      </c>
      <c r="AX58" s="1"/>
      <c r="AY58" s="1"/>
    </row>
    <row r="59" spans="1:51" ht="24" customHeight="1">
      <c r="A59" s="11"/>
      <c r="B59" s="11"/>
      <c r="C59" s="11"/>
      <c r="D59" s="11"/>
      <c r="E59" s="11"/>
      <c r="F59" s="11"/>
      <c r="G59" s="11"/>
      <c r="H59" s="11" t="str">
        <f>IF(AND(ROW()-1&lt;=教室申込!$K$5,教室申込!$K$7=0,COUNTA(教室申込!$C$4)=1),INDEX(展開用!$C$2:$C$601,MATCH(ROW()-1,展開用!$E$2:$E$601,0)),"")</f>
        <v/>
      </c>
      <c r="I59" s="11" t="str">
        <f>IF(AND(ROW()-1&lt;=教室申込!$K$5,教室申込!$K$7=0,COUNTA(教室申込!$C$4)=1),INDEX(展開用!$D$2:$D$601,MATCH(ROW()-1,展開用!$E$2:$E$601,0)),"")</f>
        <v/>
      </c>
      <c r="J59" s="11"/>
      <c r="K59" s="11"/>
      <c r="L59" s="11" t="str">
        <f>IF(AND(ROW()-1&lt;=教室申込!$K$5,教室申込!$K$7=0,COUNTA(教室申込!$C$4)=1),INDEX(教室申込!$B$1:$B$212,$AW59),"")</f>
        <v/>
      </c>
      <c r="M59" s="11" t="str">
        <f>IF(AND(ROW()-1&lt;=教室申込!$K$5,教室申込!$K$7=0,COUNTA(教室申込!$C$4)=1),INDEX(教室申込!$C$1:$C$212,$AW59),"")</f>
        <v/>
      </c>
      <c r="N59" s="11"/>
      <c r="O59" s="12" t="str">
        <f>IF(AND(ROW()-1&lt;=教室申込!$K$5,教室申込!$K$7=0,COUNTA(教室申込!$C$4)=1),INDEX(展開用!$G$2:$G$601,MATCH(ROW()-1,展開用!$E$2:$E$601,0)),"")</f>
        <v/>
      </c>
      <c r="P59" s="11"/>
      <c r="Q59" s="11"/>
      <c r="R59" s="11"/>
      <c r="S59" s="11"/>
      <c r="T59" s="11"/>
      <c r="U59" s="11" t="str">
        <f>IF(AND(ROW()-1&lt;=教室申込!$K$5,教室申込!$K$7=0,COUNTA(教室申込!$C$4)=1),INDEX(展開用!$F$2:$F$601,MATCH(ROW()-1,展開用!$E$2:$E$601,0)),"")</f>
        <v/>
      </c>
      <c r="V59" s="11"/>
      <c r="W59" s="11"/>
      <c r="X59" s="11"/>
      <c r="Y59" s="11"/>
      <c r="Z59" s="11"/>
      <c r="AA59" s="11" t="str">
        <f>IF($AW59="","",IF(INDEX(教室申込!$J$1:$J$212,$AW59)="","",INDEX(教室申込!$J$1:$J$212,$AW59)))</f>
        <v/>
      </c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" t="str">
        <f>IF(AND(ROW()-1&lt;=教室申込!$K$5,教室申込!$K$7=0,COUNTA(教室申込!$C$4)=1),INDEX(展開用!$B$2:$B$601,MATCH(ROW()-1,展開用!$E$2:$E$601,0)),"")</f>
        <v/>
      </c>
      <c r="AX59" s="1"/>
      <c r="AY59" s="1"/>
    </row>
    <row r="60" spans="1:51" ht="24" customHeight="1">
      <c r="A60" s="11"/>
      <c r="B60" s="11"/>
      <c r="C60" s="11"/>
      <c r="D60" s="11"/>
      <c r="E60" s="11"/>
      <c r="F60" s="11"/>
      <c r="G60" s="11"/>
      <c r="H60" s="11" t="str">
        <f>IF(AND(ROW()-1&lt;=教室申込!$K$5,教室申込!$K$7=0,COUNTA(教室申込!$C$4)=1),INDEX(展開用!$C$2:$C$601,MATCH(ROW()-1,展開用!$E$2:$E$601,0)),"")</f>
        <v/>
      </c>
      <c r="I60" s="11" t="str">
        <f>IF(AND(ROW()-1&lt;=教室申込!$K$5,教室申込!$K$7=0,COUNTA(教室申込!$C$4)=1),INDEX(展開用!$D$2:$D$601,MATCH(ROW()-1,展開用!$E$2:$E$601,0)),"")</f>
        <v/>
      </c>
      <c r="J60" s="11"/>
      <c r="K60" s="11"/>
      <c r="L60" s="11" t="str">
        <f>IF(AND(ROW()-1&lt;=教室申込!$K$5,教室申込!$K$7=0,COUNTA(教室申込!$C$4)=1),INDEX(教室申込!$B$1:$B$212,$AW60),"")</f>
        <v/>
      </c>
      <c r="M60" s="11" t="str">
        <f>IF(AND(ROW()-1&lt;=教室申込!$K$5,教室申込!$K$7=0,COUNTA(教室申込!$C$4)=1),INDEX(教室申込!$C$1:$C$212,$AW60),"")</f>
        <v/>
      </c>
      <c r="N60" s="11"/>
      <c r="O60" s="12" t="str">
        <f>IF(AND(ROW()-1&lt;=教室申込!$K$5,教室申込!$K$7=0,COUNTA(教室申込!$C$4)=1),INDEX(展開用!$G$2:$G$601,MATCH(ROW()-1,展開用!$E$2:$E$601,0)),"")</f>
        <v/>
      </c>
      <c r="P60" s="11"/>
      <c r="Q60" s="11"/>
      <c r="R60" s="11"/>
      <c r="S60" s="11"/>
      <c r="T60" s="11"/>
      <c r="U60" s="11" t="str">
        <f>IF(AND(ROW()-1&lt;=教室申込!$K$5,教室申込!$K$7=0,COUNTA(教室申込!$C$4)=1),INDEX(展開用!$F$2:$F$601,MATCH(ROW()-1,展開用!$E$2:$E$601,0)),"")</f>
        <v/>
      </c>
      <c r="V60" s="11"/>
      <c r="W60" s="11"/>
      <c r="X60" s="11"/>
      <c r="Y60" s="11"/>
      <c r="Z60" s="11"/>
      <c r="AA60" s="11" t="str">
        <f>IF($AW60="","",IF(INDEX(教室申込!$J$1:$J$212,$AW60)="","",INDEX(教室申込!$J$1:$J$212,$AW60)))</f>
        <v/>
      </c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" t="str">
        <f>IF(AND(ROW()-1&lt;=教室申込!$K$5,教室申込!$K$7=0,COUNTA(教室申込!$C$4)=1),INDEX(展開用!$B$2:$B$601,MATCH(ROW()-1,展開用!$E$2:$E$601,0)),"")</f>
        <v/>
      </c>
      <c r="AX60" s="1"/>
      <c r="AY60" s="1"/>
    </row>
    <row r="61" spans="1:51" ht="24" customHeight="1">
      <c r="A61" s="11"/>
      <c r="B61" s="11"/>
      <c r="C61" s="11"/>
      <c r="D61" s="11"/>
      <c r="E61" s="11"/>
      <c r="F61" s="11"/>
      <c r="G61" s="11"/>
      <c r="H61" s="11" t="str">
        <f>IF(AND(ROW()-1&lt;=教室申込!$K$5,教室申込!$K$7=0,COUNTA(教室申込!$C$4)=1),INDEX(展開用!$C$2:$C$601,MATCH(ROW()-1,展開用!$E$2:$E$601,0)),"")</f>
        <v/>
      </c>
      <c r="I61" s="11" t="str">
        <f>IF(AND(ROW()-1&lt;=教室申込!$K$5,教室申込!$K$7=0,COUNTA(教室申込!$C$4)=1),INDEX(展開用!$D$2:$D$601,MATCH(ROW()-1,展開用!$E$2:$E$601,0)),"")</f>
        <v/>
      </c>
      <c r="J61" s="11"/>
      <c r="K61" s="11"/>
      <c r="L61" s="11" t="str">
        <f>IF(AND(ROW()-1&lt;=教室申込!$K$5,教室申込!$K$7=0,COUNTA(教室申込!$C$4)=1),INDEX(教室申込!$B$1:$B$212,$AW61),"")</f>
        <v/>
      </c>
      <c r="M61" s="11" t="str">
        <f>IF(AND(ROW()-1&lt;=教室申込!$K$5,教室申込!$K$7=0,COUNTA(教室申込!$C$4)=1),INDEX(教室申込!$C$1:$C$212,$AW61),"")</f>
        <v/>
      </c>
      <c r="N61" s="11"/>
      <c r="O61" s="12" t="str">
        <f>IF(AND(ROW()-1&lt;=教室申込!$K$5,教室申込!$K$7=0,COUNTA(教室申込!$C$4)=1),INDEX(展開用!$G$2:$G$601,MATCH(ROW()-1,展開用!$E$2:$E$601,0)),"")</f>
        <v/>
      </c>
      <c r="P61" s="11"/>
      <c r="Q61" s="11"/>
      <c r="R61" s="11"/>
      <c r="S61" s="11"/>
      <c r="T61" s="11"/>
      <c r="U61" s="11" t="str">
        <f>IF(AND(ROW()-1&lt;=教室申込!$K$5,教室申込!$K$7=0,COUNTA(教室申込!$C$4)=1),INDEX(展開用!$F$2:$F$601,MATCH(ROW()-1,展開用!$E$2:$E$601,0)),"")</f>
        <v/>
      </c>
      <c r="V61" s="11"/>
      <c r="W61" s="11"/>
      <c r="X61" s="11"/>
      <c r="Y61" s="11"/>
      <c r="Z61" s="11"/>
      <c r="AA61" s="11" t="str">
        <f>IF($AW61="","",IF(INDEX(教室申込!$J$1:$J$212,$AW61)="","",INDEX(教室申込!$J$1:$J$212,$AW61)))</f>
        <v/>
      </c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" t="str">
        <f>IF(AND(ROW()-1&lt;=教室申込!$K$5,教室申込!$K$7=0,COUNTA(教室申込!$C$4)=1),INDEX(展開用!$B$2:$B$601,MATCH(ROW()-1,展開用!$E$2:$E$601,0)),"")</f>
        <v/>
      </c>
      <c r="AX61" s="1"/>
      <c r="AY61" s="1"/>
    </row>
    <row r="62" spans="1:51" ht="24" customHeight="1">
      <c r="A62" s="11"/>
      <c r="B62" s="11"/>
      <c r="C62" s="11"/>
      <c r="D62" s="11"/>
      <c r="E62" s="11"/>
      <c r="F62" s="11"/>
      <c r="G62" s="11"/>
      <c r="H62" s="11" t="str">
        <f>IF(AND(ROW()-1&lt;=教室申込!$K$5,教室申込!$K$7=0,COUNTA(教室申込!$C$4)=1),INDEX(展開用!$C$2:$C$601,MATCH(ROW()-1,展開用!$E$2:$E$601,0)),"")</f>
        <v/>
      </c>
      <c r="I62" s="11" t="str">
        <f>IF(AND(ROW()-1&lt;=教室申込!$K$5,教室申込!$K$7=0,COUNTA(教室申込!$C$4)=1),INDEX(展開用!$D$2:$D$601,MATCH(ROW()-1,展開用!$E$2:$E$601,0)),"")</f>
        <v/>
      </c>
      <c r="J62" s="11"/>
      <c r="K62" s="11"/>
      <c r="L62" s="11" t="str">
        <f>IF(AND(ROW()-1&lt;=教室申込!$K$5,教室申込!$K$7=0,COUNTA(教室申込!$C$4)=1),INDEX(教室申込!$B$1:$B$212,$AW62),"")</f>
        <v/>
      </c>
      <c r="M62" s="11" t="str">
        <f>IF(AND(ROW()-1&lt;=教室申込!$K$5,教室申込!$K$7=0,COUNTA(教室申込!$C$4)=1),INDEX(教室申込!$C$1:$C$212,$AW62),"")</f>
        <v/>
      </c>
      <c r="N62" s="11"/>
      <c r="O62" s="12" t="str">
        <f>IF(AND(ROW()-1&lt;=教室申込!$K$5,教室申込!$K$7=0,COUNTA(教室申込!$C$4)=1),INDEX(展開用!$G$2:$G$601,MATCH(ROW()-1,展開用!$E$2:$E$601,0)),"")</f>
        <v/>
      </c>
      <c r="P62" s="11"/>
      <c r="Q62" s="11"/>
      <c r="R62" s="11"/>
      <c r="S62" s="11"/>
      <c r="T62" s="11"/>
      <c r="U62" s="11" t="str">
        <f>IF(AND(ROW()-1&lt;=教室申込!$K$5,教室申込!$K$7=0,COUNTA(教室申込!$C$4)=1),INDEX(展開用!$F$2:$F$601,MATCH(ROW()-1,展開用!$E$2:$E$601,0)),"")</f>
        <v/>
      </c>
      <c r="V62" s="11"/>
      <c r="W62" s="11"/>
      <c r="X62" s="11"/>
      <c r="Y62" s="11"/>
      <c r="Z62" s="11"/>
      <c r="AA62" s="11" t="str">
        <f>IF($AW62="","",IF(INDEX(教室申込!$J$1:$J$212,$AW62)="","",INDEX(教室申込!$J$1:$J$212,$AW62)))</f>
        <v/>
      </c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" t="str">
        <f>IF(AND(ROW()-1&lt;=教室申込!$K$5,教室申込!$K$7=0,COUNTA(教室申込!$C$4)=1),INDEX(展開用!$B$2:$B$601,MATCH(ROW()-1,展開用!$E$2:$E$601,0)),"")</f>
        <v/>
      </c>
      <c r="AX62" s="1"/>
      <c r="AY62" s="1"/>
    </row>
    <row r="63" spans="1:51" ht="24" customHeight="1">
      <c r="A63" s="11"/>
      <c r="B63" s="11"/>
      <c r="C63" s="11"/>
      <c r="D63" s="11"/>
      <c r="E63" s="11"/>
      <c r="F63" s="11"/>
      <c r="G63" s="11"/>
      <c r="H63" s="11" t="str">
        <f>IF(AND(ROW()-1&lt;=教室申込!$K$5,教室申込!$K$7=0,COUNTA(教室申込!$C$4)=1),INDEX(展開用!$C$2:$C$601,MATCH(ROW()-1,展開用!$E$2:$E$601,0)),"")</f>
        <v/>
      </c>
      <c r="I63" s="11" t="str">
        <f>IF(AND(ROW()-1&lt;=教室申込!$K$5,教室申込!$K$7=0,COUNTA(教室申込!$C$4)=1),INDEX(展開用!$D$2:$D$601,MATCH(ROW()-1,展開用!$E$2:$E$601,0)),"")</f>
        <v/>
      </c>
      <c r="J63" s="11"/>
      <c r="K63" s="11"/>
      <c r="L63" s="11" t="str">
        <f>IF(AND(ROW()-1&lt;=教室申込!$K$5,教室申込!$K$7=0,COUNTA(教室申込!$C$4)=1),INDEX(教室申込!$B$1:$B$212,$AW63),"")</f>
        <v/>
      </c>
      <c r="M63" s="11" t="str">
        <f>IF(AND(ROW()-1&lt;=教室申込!$K$5,教室申込!$K$7=0,COUNTA(教室申込!$C$4)=1),INDEX(教室申込!$C$1:$C$212,$AW63),"")</f>
        <v/>
      </c>
      <c r="N63" s="11"/>
      <c r="O63" s="12" t="str">
        <f>IF(AND(ROW()-1&lt;=教室申込!$K$5,教室申込!$K$7=0,COUNTA(教室申込!$C$4)=1),INDEX(展開用!$G$2:$G$601,MATCH(ROW()-1,展開用!$E$2:$E$601,0)),"")</f>
        <v/>
      </c>
      <c r="P63" s="11"/>
      <c r="Q63" s="11"/>
      <c r="R63" s="11"/>
      <c r="S63" s="11"/>
      <c r="T63" s="11"/>
      <c r="U63" s="11" t="str">
        <f>IF(AND(ROW()-1&lt;=教室申込!$K$5,教室申込!$K$7=0,COUNTA(教室申込!$C$4)=1),INDEX(展開用!$F$2:$F$601,MATCH(ROW()-1,展開用!$E$2:$E$601,0)),"")</f>
        <v/>
      </c>
      <c r="V63" s="11"/>
      <c r="W63" s="11"/>
      <c r="X63" s="11"/>
      <c r="Y63" s="11"/>
      <c r="Z63" s="11"/>
      <c r="AA63" s="11" t="str">
        <f>IF($AW63="","",IF(INDEX(教室申込!$J$1:$J$212,$AW63)="","",INDEX(教室申込!$J$1:$J$212,$AW63)))</f>
        <v/>
      </c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" t="str">
        <f>IF(AND(ROW()-1&lt;=教室申込!$K$5,教室申込!$K$7=0,COUNTA(教室申込!$C$4)=1),INDEX(展開用!$B$2:$B$601,MATCH(ROW()-1,展開用!$E$2:$E$601,0)),"")</f>
        <v/>
      </c>
      <c r="AX63" s="1"/>
      <c r="AY63" s="1"/>
    </row>
    <row r="64" spans="1:51" ht="24" customHeight="1">
      <c r="A64" s="11"/>
      <c r="B64" s="11"/>
      <c r="C64" s="11"/>
      <c r="D64" s="11"/>
      <c r="E64" s="11"/>
      <c r="F64" s="11"/>
      <c r="G64" s="11"/>
      <c r="H64" s="11" t="str">
        <f>IF(AND(ROW()-1&lt;=教室申込!$K$5,教室申込!$K$7=0,COUNTA(教室申込!$C$4)=1),INDEX(展開用!$C$2:$C$601,MATCH(ROW()-1,展開用!$E$2:$E$601,0)),"")</f>
        <v/>
      </c>
      <c r="I64" s="11" t="str">
        <f>IF(AND(ROW()-1&lt;=教室申込!$K$5,教室申込!$K$7=0,COUNTA(教室申込!$C$4)=1),INDEX(展開用!$D$2:$D$601,MATCH(ROW()-1,展開用!$E$2:$E$601,0)),"")</f>
        <v/>
      </c>
      <c r="J64" s="11"/>
      <c r="K64" s="11"/>
      <c r="L64" s="11" t="str">
        <f>IF(AND(ROW()-1&lt;=教室申込!$K$5,教室申込!$K$7=0,COUNTA(教室申込!$C$4)=1),INDEX(教室申込!$B$1:$B$212,$AW64),"")</f>
        <v/>
      </c>
      <c r="M64" s="11" t="str">
        <f>IF(AND(ROW()-1&lt;=教室申込!$K$5,教室申込!$K$7=0,COUNTA(教室申込!$C$4)=1),INDEX(教室申込!$C$1:$C$212,$AW64),"")</f>
        <v/>
      </c>
      <c r="N64" s="11"/>
      <c r="O64" s="12" t="str">
        <f>IF(AND(ROW()-1&lt;=教室申込!$K$5,教室申込!$K$7=0,COUNTA(教室申込!$C$4)=1),INDEX(展開用!$G$2:$G$601,MATCH(ROW()-1,展開用!$E$2:$E$601,0)),"")</f>
        <v/>
      </c>
      <c r="P64" s="11"/>
      <c r="Q64" s="11"/>
      <c r="R64" s="11"/>
      <c r="S64" s="11"/>
      <c r="T64" s="11"/>
      <c r="U64" s="11" t="str">
        <f>IF(AND(ROW()-1&lt;=教室申込!$K$5,教室申込!$K$7=0,COUNTA(教室申込!$C$4)=1),INDEX(展開用!$F$2:$F$601,MATCH(ROW()-1,展開用!$E$2:$E$601,0)),"")</f>
        <v/>
      </c>
      <c r="V64" s="11"/>
      <c r="W64" s="11"/>
      <c r="X64" s="11"/>
      <c r="Y64" s="11"/>
      <c r="Z64" s="11"/>
      <c r="AA64" s="11" t="str">
        <f>IF($AW64="","",IF(INDEX(教室申込!$J$1:$J$212,$AW64)="","",INDEX(教室申込!$J$1:$J$212,$AW64)))</f>
        <v/>
      </c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" t="str">
        <f>IF(AND(ROW()-1&lt;=教室申込!$K$5,教室申込!$K$7=0,COUNTA(教室申込!$C$4)=1),INDEX(展開用!$B$2:$B$601,MATCH(ROW()-1,展開用!$E$2:$E$601,0)),"")</f>
        <v/>
      </c>
      <c r="AX64" s="1"/>
      <c r="AY64" s="1"/>
    </row>
    <row r="65" spans="1:51" ht="24" customHeight="1">
      <c r="A65" s="11"/>
      <c r="B65" s="11"/>
      <c r="C65" s="11"/>
      <c r="D65" s="11"/>
      <c r="E65" s="11"/>
      <c r="F65" s="11"/>
      <c r="G65" s="11"/>
      <c r="H65" s="11" t="str">
        <f>IF(AND(ROW()-1&lt;=教室申込!$K$5,教室申込!$K$7=0,COUNTA(教室申込!$C$4)=1),INDEX(展開用!$C$2:$C$601,MATCH(ROW()-1,展開用!$E$2:$E$601,0)),"")</f>
        <v/>
      </c>
      <c r="I65" s="11" t="str">
        <f>IF(AND(ROW()-1&lt;=教室申込!$K$5,教室申込!$K$7=0,COUNTA(教室申込!$C$4)=1),INDEX(展開用!$D$2:$D$601,MATCH(ROW()-1,展開用!$E$2:$E$601,0)),"")</f>
        <v/>
      </c>
      <c r="J65" s="11"/>
      <c r="K65" s="11"/>
      <c r="L65" s="11" t="str">
        <f>IF(AND(ROW()-1&lt;=教室申込!$K$5,教室申込!$K$7=0,COUNTA(教室申込!$C$4)=1),INDEX(教室申込!$B$1:$B$212,$AW65),"")</f>
        <v/>
      </c>
      <c r="M65" s="11" t="str">
        <f>IF(AND(ROW()-1&lt;=教室申込!$K$5,教室申込!$K$7=0,COUNTA(教室申込!$C$4)=1),INDEX(教室申込!$C$1:$C$212,$AW65),"")</f>
        <v/>
      </c>
      <c r="N65" s="11"/>
      <c r="O65" s="12" t="str">
        <f>IF(AND(ROW()-1&lt;=教室申込!$K$5,教室申込!$K$7=0,COUNTA(教室申込!$C$4)=1),INDEX(展開用!$G$2:$G$601,MATCH(ROW()-1,展開用!$E$2:$E$601,0)),"")</f>
        <v/>
      </c>
      <c r="P65" s="11"/>
      <c r="Q65" s="11"/>
      <c r="R65" s="11"/>
      <c r="S65" s="11"/>
      <c r="T65" s="11"/>
      <c r="U65" s="11" t="str">
        <f>IF(AND(ROW()-1&lt;=教室申込!$K$5,教室申込!$K$7=0,COUNTA(教室申込!$C$4)=1),INDEX(展開用!$F$2:$F$601,MATCH(ROW()-1,展開用!$E$2:$E$601,0)),"")</f>
        <v/>
      </c>
      <c r="V65" s="11"/>
      <c r="W65" s="11"/>
      <c r="X65" s="11"/>
      <c r="Y65" s="11"/>
      <c r="Z65" s="11"/>
      <c r="AA65" s="11" t="str">
        <f>IF($AW65="","",IF(INDEX(教室申込!$J$1:$J$212,$AW65)="","",INDEX(教室申込!$J$1:$J$212,$AW65)))</f>
        <v/>
      </c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" t="str">
        <f>IF(AND(ROW()-1&lt;=教室申込!$K$5,教室申込!$K$7=0,COUNTA(教室申込!$C$4)=1),INDEX(展開用!$B$2:$B$601,MATCH(ROW()-1,展開用!$E$2:$E$601,0)),"")</f>
        <v/>
      </c>
      <c r="AX65" s="1"/>
      <c r="AY65" s="1"/>
    </row>
    <row r="66" spans="1:51" ht="24" customHeight="1">
      <c r="A66" s="11"/>
      <c r="B66" s="11"/>
      <c r="C66" s="11"/>
      <c r="D66" s="11"/>
      <c r="E66" s="11"/>
      <c r="F66" s="11"/>
      <c r="G66" s="11"/>
      <c r="H66" s="11" t="str">
        <f>IF(AND(ROW()-1&lt;=教室申込!$K$5,教室申込!$K$7=0,COUNTA(教室申込!$C$4)=1),INDEX(展開用!$C$2:$C$601,MATCH(ROW()-1,展開用!$E$2:$E$601,0)),"")</f>
        <v/>
      </c>
      <c r="I66" s="11" t="str">
        <f>IF(AND(ROW()-1&lt;=教室申込!$K$5,教室申込!$K$7=0,COUNTA(教室申込!$C$4)=1),INDEX(展開用!$D$2:$D$601,MATCH(ROW()-1,展開用!$E$2:$E$601,0)),"")</f>
        <v/>
      </c>
      <c r="J66" s="11"/>
      <c r="K66" s="11"/>
      <c r="L66" s="11" t="str">
        <f>IF(AND(ROW()-1&lt;=教室申込!$K$5,教室申込!$K$7=0,COUNTA(教室申込!$C$4)=1),INDEX(教室申込!$B$1:$B$212,$AW66),"")</f>
        <v/>
      </c>
      <c r="M66" s="11" t="str">
        <f>IF(AND(ROW()-1&lt;=教室申込!$K$5,教室申込!$K$7=0,COUNTA(教室申込!$C$4)=1),INDEX(教室申込!$C$1:$C$212,$AW66),"")</f>
        <v/>
      </c>
      <c r="N66" s="11"/>
      <c r="O66" s="12" t="str">
        <f>IF(AND(ROW()-1&lt;=教室申込!$K$5,教室申込!$K$7=0,COUNTA(教室申込!$C$4)=1),INDEX(展開用!$G$2:$G$601,MATCH(ROW()-1,展開用!$E$2:$E$601,0)),"")</f>
        <v/>
      </c>
      <c r="P66" s="11"/>
      <c r="Q66" s="11"/>
      <c r="R66" s="11"/>
      <c r="S66" s="11"/>
      <c r="T66" s="11"/>
      <c r="U66" s="11" t="str">
        <f>IF(AND(ROW()-1&lt;=教室申込!$K$5,教室申込!$K$7=0,COUNTA(教室申込!$C$4)=1),INDEX(展開用!$F$2:$F$601,MATCH(ROW()-1,展開用!$E$2:$E$601,0)),"")</f>
        <v/>
      </c>
      <c r="V66" s="11"/>
      <c r="W66" s="11"/>
      <c r="X66" s="11"/>
      <c r="Y66" s="11"/>
      <c r="Z66" s="11"/>
      <c r="AA66" s="11" t="str">
        <f>IF($AW66="","",IF(INDEX(教室申込!$J$1:$J$212,$AW66)="","",INDEX(教室申込!$J$1:$J$212,$AW66)))</f>
        <v/>
      </c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" t="str">
        <f>IF(AND(ROW()-1&lt;=教室申込!$K$5,教室申込!$K$7=0,COUNTA(教室申込!$C$4)=1),INDEX(展開用!$B$2:$B$601,MATCH(ROW()-1,展開用!$E$2:$E$601,0)),"")</f>
        <v/>
      </c>
      <c r="AX66" s="1"/>
      <c r="AY66" s="1"/>
    </row>
    <row r="67" spans="1:51" ht="24" customHeight="1">
      <c r="A67" s="11"/>
      <c r="B67" s="11"/>
      <c r="C67" s="11"/>
      <c r="D67" s="11"/>
      <c r="E67" s="11"/>
      <c r="F67" s="11"/>
      <c r="G67" s="11"/>
      <c r="H67" s="11" t="str">
        <f>IF(AND(ROW()-1&lt;=教室申込!$K$5,教室申込!$K$7=0,COUNTA(教室申込!$C$4)=1),INDEX(展開用!$C$2:$C$601,MATCH(ROW()-1,展開用!$E$2:$E$601,0)),"")</f>
        <v/>
      </c>
      <c r="I67" s="11" t="str">
        <f>IF(AND(ROW()-1&lt;=教室申込!$K$5,教室申込!$K$7=0,COUNTA(教室申込!$C$4)=1),INDEX(展開用!$D$2:$D$601,MATCH(ROW()-1,展開用!$E$2:$E$601,0)),"")</f>
        <v/>
      </c>
      <c r="J67" s="11"/>
      <c r="K67" s="11"/>
      <c r="L67" s="11" t="str">
        <f>IF(AND(ROW()-1&lt;=教室申込!$K$5,教室申込!$K$7=0,COUNTA(教室申込!$C$4)=1),INDEX(教室申込!$B$1:$B$212,$AW67),"")</f>
        <v/>
      </c>
      <c r="M67" s="11" t="str">
        <f>IF(AND(ROW()-1&lt;=教室申込!$K$5,教室申込!$K$7=0,COUNTA(教室申込!$C$4)=1),INDEX(教室申込!$C$1:$C$212,$AW67),"")</f>
        <v/>
      </c>
      <c r="N67" s="11"/>
      <c r="O67" s="12" t="str">
        <f>IF(AND(ROW()-1&lt;=教室申込!$K$5,教室申込!$K$7=0,COUNTA(教室申込!$C$4)=1),INDEX(展開用!$G$2:$G$601,MATCH(ROW()-1,展開用!$E$2:$E$601,0)),"")</f>
        <v/>
      </c>
      <c r="P67" s="11"/>
      <c r="Q67" s="11"/>
      <c r="R67" s="11"/>
      <c r="S67" s="11"/>
      <c r="T67" s="11"/>
      <c r="U67" s="11" t="str">
        <f>IF(AND(ROW()-1&lt;=教室申込!$K$5,教室申込!$K$7=0,COUNTA(教室申込!$C$4)=1),INDEX(展開用!$F$2:$F$601,MATCH(ROW()-1,展開用!$E$2:$E$601,0)),"")</f>
        <v/>
      </c>
      <c r="V67" s="11"/>
      <c r="W67" s="11"/>
      <c r="X67" s="11"/>
      <c r="Y67" s="11"/>
      <c r="Z67" s="11"/>
      <c r="AA67" s="11" t="str">
        <f>IF($AW67="","",IF(INDEX(教室申込!$J$1:$J$212,$AW67)="","",INDEX(教室申込!$J$1:$J$212,$AW67)))</f>
        <v/>
      </c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" t="str">
        <f>IF(AND(ROW()-1&lt;=教室申込!$K$5,教室申込!$K$7=0,COUNTA(教室申込!$C$4)=1),INDEX(展開用!$B$2:$B$601,MATCH(ROW()-1,展開用!$E$2:$E$601,0)),"")</f>
        <v/>
      </c>
      <c r="AX67" s="1"/>
      <c r="AY67" s="1"/>
    </row>
    <row r="68" spans="1:51" ht="24" customHeight="1">
      <c r="A68" s="11"/>
      <c r="B68" s="11"/>
      <c r="C68" s="11"/>
      <c r="D68" s="11"/>
      <c r="E68" s="11"/>
      <c r="F68" s="11"/>
      <c r="G68" s="11"/>
      <c r="H68" s="11" t="str">
        <f>IF(AND(ROW()-1&lt;=教室申込!$K$5,教室申込!$K$7=0,COUNTA(教室申込!$C$4)=1),INDEX(展開用!$C$2:$C$601,MATCH(ROW()-1,展開用!$E$2:$E$601,0)),"")</f>
        <v/>
      </c>
      <c r="I68" s="11" t="str">
        <f>IF(AND(ROW()-1&lt;=教室申込!$K$5,教室申込!$K$7=0,COUNTA(教室申込!$C$4)=1),INDEX(展開用!$D$2:$D$601,MATCH(ROW()-1,展開用!$E$2:$E$601,0)),"")</f>
        <v/>
      </c>
      <c r="J68" s="11"/>
      <c r="K68" s="11"/>
      <c r="L68" s="11" t="str">
        <f>IF(AND(ROW()-1&lt;=教室申込!$K$5,教室申込!$K$7=0,COUNTA(教室申込!$C$4)=1),INDEX(教室申込!$B$1:$B$212,$AW68),"")</f>
        <v/>
      </c>
      <c r="M68" s="11" t="str">
        <f>IF(AND(ROW()-1&lt;=教室申込!$K$5,教室申込!$K$7=0,COUNTA(教室申込!$C$4)=1),INDEX(教室申込!$C$1:$C$212,$AW68),"")</f>
        <v/>
      </c>
      <c r="N68" s="11"/>
      <c r="O68" s="12" t="str">
        <f>IF(AND(ROW()-1&lt;=教室申込!$K$5,教室申込!$K$7=0,COUNTA(教室申込!$C$4)=1),INDEX(展開用!$G$2:$G$601,MATCH(ROW()-1,展開用!$E$2:$E$601,0)),"")</f>
        <v/>
      </c>
      <c r="P68" s="11"/>
      <c r="Q68" s="11"/>
      <c r="R68" s="11"/>
      <c r="S68" s="11"/>
      <c r="T68" s="11"/>
      <c r="U68" s="11" t="str">
        <f>IF(AND(ROW()-1&lt;=教室申込!$K$5,教室申込!$K$7=0,COUNTA(教室申込!$C$4)=1),INDEX(展開用!$F$2:$F$601,MATCH(ROW()-1,展開用!$E$2:$E$601,0)),"")</f>
        <v/>
      </c>
      <c r="V68" s="11"/>
      <c r="W68" s="11"/>
      <c r="X68" s="11"/>
      <c r="Y68" s="11"/>
      <c r="Z68" s="11"/>
      <c r="AA68" s="11" t="str">
        <f>IF($AW68="","",IF(INDEX(教室申込!$J$1:$J$212,$AW68)="","",INDEX(教室申込!$J$1:$J$212,$AW68)))</f>
        <v/>
      </c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" t="str">
        <f>IF(AND(ROW()-1&lt;=教室申込!$K$5,教室申込!$K$7=0,COUNTA(教室申込!$C$4)=1),INDEX(展開用!$B$2:$B$601,MATCH(ROW()-1,展開用!$E$2:$E$601,0)),"")</f>
        <v/>
      </c>
      <c r="AX68" s="1"/>
      <c r="AY68" s="1"/>
    </row>
    <row r="69" spans="1:51" ht="24" customHeight="1">
      <c r="A69" s="11"/>
      <c r="B69" s="11"/>
      <c r="C69" s="11"/>
      <c r="D69" s="11"/>
      <c r="E69" s="11"/>
      <c r="F69" s="11"/>
      <c r="G69" s="11"/>
      <c r="H69" s="11" t="str">
        <f>IF(AND(ROW()-1&lt;=教室申込!$K$5,教室申込!$K$7=0,COUNTA(教室申込!$C$4)=1),INDEX(展開用!$C$2:$C$601,MATCH(ROW()-1,展開用!$E$2:$E$601,0)),"")</f>
        <v/>
      </c>
      <c r="I69" s="11" t="str">
        <f>IF(AND(ROW()-1&lt;=教室申込!$K$5,教室申込!$K$7=0,COUNTA(教室申込!$C$4)=1),INDEX(展開用!$D$2:$D$601,MATCH(ROW()-1,展開用!$E$2:$E$601,0)),"")</f>
        <v/>
      </c>
      <c r="J69" s="11"/>
      <c r="K69" s="11"/>
      <c r="L69" s="11" t="str">
        <f>IF(AND(ROW()-1&lt;=教室申込!$K$5,教室申込!$K$7=0,COUNTA(教室申込!$C$4)=1),INDEX(教室申込!$B$1:$B$212,$AW69),"")</f>
        <v/>
      </c>
      <c r="M69" s="11" t="str">
        <f>IF(AND(ROW()-1&lt;=教室申込!$K$5,教室申込!$K$7=0,COUNTA(教室申込!$C$4)=1),INDEX(教室申込!$C$1:$C$212,$AW69),"")</f>
        <v/>
      </c>
      <c r="N69" s="11"/>
      <c r="O69" s="12" t="str">
        <f>IF(AND(ROW()-1&lt;=教室申込!$K$5,教室申込!$K$7=0,COUNTA(教室申込!$C$4)=1),INDEX(展開用!$G$2:$G$601,MATCH(ROW()-1,展開用!$E$2:$E$601,0)),"")</f>
        <v/>
      </c>
      <c r="P69" s="11"/>
      <c r="Q69" s="11"/>
      <c r="R69" s="11"/>
      <c r="S69" s="11"/>
      <c r="T69" s="11"/>
      <c r="U69" s="11" t="str">
        <f>IF(AND(ROW()-1&lt;=教室申込!$K$5,教室申込!$K$7=0,COUNTA(教室申込!$C$4)=1),INDEX(展開用!$F$2:$F$601,MATCH(ROW()-1,展開用!$E$2:$E$601,0)),"")</f>
        <v/>
      </c>
      <c r="V69" s="11"/>
      <c r="W69" s="11"/>
      <c r="X69" s="11"/>
      <c r="Y69" s="11"/>
      <c r="Z69" s="11"/>
      <c r="AA69" s="11" t="str">
        <f>IF($AW69="","",IF(INDEX(教室申込!$J$1:$J$212,$AW69)="","",INDEX(教室申込!$J$1:$J$212,$AW69)))</f>
        <v/>
      </c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" t="str">
        <f>IF(AND(ROW()-1&lt;=教室申込!$K$5,教室申込!$K$7=0,COUNTA(教室申込!$C$4)=1),INDEX(展開用!$B$2:$B$601,MATCH(ROW()-1,展開用!$E$2:$E$601,0)),"")</f>
        <v/>
      </c>
      <c r="AX69" s="1"/>
      <c r="AY69" s="1"/>
    </row>
    <row r="70" spans="1:51" ht="24" customHeight="1">
      <c r="A70" s="11"/>
      <c r="B70" s="11"/>
      <c r="C70" s="11"/>
      <c r="D70" s="11"/>
      <c r="E70" s="11"/>
      <c r="F70" s="11"/>
      <c r="G70" s="11"/>
      <c r="H70" s="11" t="str">
        <f>IF(AND(ROW()-1&lt;=教室申込!$K$5,教室申込!$K$7=0,COUNTA(教室申込!$C$4)=1),INDEX(展開用!$C$2:$C$601,MATCH(ROW()-1,展開用!$E$2:$E$601,0)),"")</f>
        <v/>
      </c>
      <c r="I70" s="11" t="str">
        <f>IF(AND(ROW()-1&lt;=教室申込!$K$5,教室申込!$K$7=0,COUNTA(教室申込!$C$4)=1),INDEX(展開用!$D$2:$D$601,MATCH(ROW()-1,展開用!$E$2:$E$601,0)),"")</f>
        <v/>
      </c>
      <c r="J70" s="11"/>
      <c r="K70" s="11"/>
      <c r="L70" s="11" t="str">
        <f>IF(AND(ROW()-1&lt;=教室申込!$K$5,教室申込!$K$7=0,COUNTA(教室申込!$C$4)=1),INDEX(教室申込!$B$1:$B$212,$AW70),"")</f>
        <v/>
      </c>
      <c r="M70" s="11" t="str">
        <f>IF(AND(ROW()-1&lt;=教室申込!$K$5,教室申込!$K$7=0,COUNTA(教室申込!$C$4)=1),INDEX(教室申込!$C$1:$C$212,$AW70),"")</f>
        <v/>
      </c>
      <c r="N70" s="11"/>
      <c r="O70" s="12" t="str">
        <f>IF(AND(ROW()-1&lt;=教室申込!$K$5,教室申込!$K$7=0,COUNTA(教室申込!$C$4)=1),INDEX(展開用!$G$2:$G$601,MATCH(ROW()-1,展開用!$E$2:$E$601,0)),"")</f>
        <v/>
      </c>
      <c r="P70" s="11"/>
      <c r="Q70" s="11"/>
      <c r="R70" s="11"/>
      <c r="S70" s="11"/>
      <c r="T70" s="11"/>
      <c r="U70" s="11" t="str">
        <f>IF(AND(ROW()-1&lt;=教室申込!$K$5,教室申込!$K$7=0,COUNTA(教室申込!$C$4)=1),INDEX(展開用!$F$2:$F$601,MATCH(ROW()-1,展開用!$E$2:$E$601,0)),"")</f>
        <v/>
      </c>
      <c r="V70" s="11"/>
      <c r="W70" s="11"/>
      <c r="X70" s="11"/>
      <c r="Y70" s="11"/>
      <c r="Z70" s="11"/>
      <c r="AA70" s="11" t="str">
        <f>IF($AW70="","",IF(INDEX(教室申込!$J$1:$J$212,$AW70)="","",INDEX(教室申込!$J$1:$J$212,$AW70)))</f>
        <v/>
      </c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" t="str">
        <f>IF(AND(ROW()-1&lt;=教室申込!$K$5,教室申込!$K$7=0,COUNTA(教室申込!$C$4)=1),INDEX(展開用!$B$2:$B$601,MATCH(ROW()-1,展開用!$E$2:$E$601,0)),"")</f>
        <v/>
      </c>
      <c r="AX70" s="1"/>
      <c r="AY70" s="1"/>
    </row>
    <row r="71" spans="1:51" ht="24" customHeight="1">
      <c r="A71" s="11"/>
      <c r="B71" s="11"/>
      <c r="C71" s="11"/>
      <c r="D71" s="11"/>
      <c r="E71" s="11"/>
      <c r="F71" s="11"/>
      <c r="G71" s="11"/>
      <c r="H71" s="11" t="str">
        <f>IF(AND(ROW()-1&lt;=教室申込!$K$5,教室申込!$K$7=0,COUNTA(教室申込!$C$4)=1),INDEX(展開用!$C$2:$C$601,MATCH(ROW()-1,展開用!$E$2:$E$601,0)),"")</f>
        <v/>
      </c>
      <c r="I71" s="11" t="str">
        <f>IF(AND(ROW()-1&lt;=教室申込!$K$5,教室申込!$K$7=0,COUNTA(教室申込!$C$4)=1),INDEX(展開用!$D$2:$D$601,MATCH(ROW()-1,展開用!$E$2:$E$601,0)),"")</f>
        <v/>
      </c>
      <c r="J71" s="11"/>
      <c r="K71" s="11"/>
      <c r="L71" s="11" t="str">
        <f>IF(AND(ROW()-1&lt;=教室申込!$K$5,教室申込!$K$7=0,COUNTA(教室申込!$C$4)=1),INDEX(教室申込!$B$1:$B$212,$AW71),"")</f>
        <v/>
      </c>
      <c r="M71" s="11" t="str">
        <f>IF(AND(ROW()-1&lt;=教室申込!$K$5,教室申込!$K$7=0,COUNTA(教室申込!$C$4)=1),INDEX(教室申込!$C$1:$C$212,$AW71),"")</f>
        <v/>
      </c>
      <c r="N71" s="11"/>
      <c r="O71" s="12" t="str">
        <f>IF(AND(ROW()-1&lt;=教室申込!$K$5,教室申込!$K$7=0,COUNTA(教室申込!$C$4)=1),INDEX(展開用!$G$2:$G$601,MATCH(ROW()-1,展開用!$E$2:$E$601,0)),"")</f>
        <v/>
      </c>
      <c r="P71" s="11"/>
      <c r="Q71" s="11"/>
      <c r="R71" s="11"/>
      <c r="S71" s="11"/>
      <c r="T71" s="11"/>
      <c r="U71" s="11" t="str">
        <f>IF(AND(ROW()-1&lt;=教室申込!$K$5,教室申込!$K$7=0,COUNTA(教室申込!$C$4)=1),INDEX(展開用!$F$2:$F$601,MATCH(ROW()-1,展開用!$E$2:$E$601,0)),"")</f>
        <v/>
      </c>
      <c r="V71" s="11"/>
      <c r="W71" s="11"/>
      <c r="X71" s="11"/>
      <c r="Y71" s="11"/>
      <c r="Z71" s="11"/>
      <c r="AA71" s="11" t="str">
        <f>IF($AW71="","",IF(INDEX(教室申込!$J$1:$J$212,$AW71)="","",INDEX(教室申込!$J$1:$J$212,$AW71)))</f>
        <v/>
      </c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" t="str">
        <f>IF(AND(ROW()-1&lt;=教室申込!$K$5,教室申込!$K$7=0,COUNTA(教室申込!$C$4)=1),INDEX(展開用!$B$2:$B$601,MATCH(ROW()-1,展開用!$E$2:$E$601,0)),"")</f>
        <v/>
      </c>
      <c r="AX71" s="1"/>
      <c r="AY71" s="1"/>
    </row>
    <row r="72" spans="1:51" ht="24" customHeight="1">
      <c r="A72" s="11"/>
      <c r="B72" s="11"/>
      <c r="C72" s="11"/>
      <c r="D72" s="11"/>
      <c r="E72" s="11"/>
      <c r="F72" s="11"/>
      <c r="G72" s="11"/>
      <c r="H72" s="11" t="str">
        <f>IF(AND(ROW()-1&lt;=教室申込!$K$5,教室申込!$K$7=0,COUNTA(教室申込!$C$4)=1),INDEX(展開用!$C$2:$C$601,MATCH(ROW()-1,展開用!$E$2:$E$601,0)),"")</f>
        <v/>
      </c>
      <c r="I72" s="11" t="str">
        <f>IF(AND(ROW()-1&lt;=教室申込!$K$5,教室申込!$K$7=0,COUNTA(教室申込!$C$4)=1),INDEX(展開用!$D$2:$D$601,MATCH(ROW()-1,展開用!$E$2:$E$601,0)),"")</f>
        <v/>
      </c>
      <c r="J72" s="11"/>
      <c r="K72" s="11"/>
      <c r="L72" s="11" t="str">
        <f>IF(AND(ROW()-1&lt;=教室申込!$K$5,教室申込!$K$7=0,COUNTA(教室申込!$C$4)=1),INDEX(教室申込!$B$1:$B$212,$AW72),"")</f>
        <v/>
      </c>
      <c r="M72" s="11" t="str">
        <f>IF(AND(ROW()-1&lt;=教室申込!$K$5,教室申込!$K$7=0,COUNTA(教室申込!$C$4)=1),INDEX(教室申込!$C$1:$C$212,$AW72),"")</f>
        <v/>
      </c>
      <c r="N72" s="11"/>
      <c r="O72" s="12" t="str">
        <f>IF(AND(ROW()-1&lt;=教室申込!$K$5,教室申込!$K$7=0,COUNTA(教室申込!$C$4)=1),INDEX(展開用!$G$2:$G$601,MATCH(ROW()-1,展開用!$E$2:$E$601,0)),"")</f>
        <v/>
      </c>
      <c r="P72" s="11"/>
      <c r="Q72" s="11"/>
      <c r="R72" s="11"/>
      <c r="S72" s="11"/>
      <c r="T72" s="11"/>
      <c r="U72" s="11" t="str">
        <f>IF(AND(ROW()-1&lt;=教室申込!$K$5,教室申込!$K$7=0,COUNTA(教室申込!$C$4)=1),INDEX(展開用!$F$2:$F$601,MATCH(ROW()-1,展開用!$E$2:$E$601,0)),"")</f>
        <v/>
      </c>
      <c r="V72" s="11"/>
      <c r="W72" s="11"/>
      <c r="X72" s="11"/>
      <c r="Y72" s="11"/>
      <c r="Z72" s="11"/>
      <c r="AA72" s="11" t="str">
        <f>IF($AW72="","",IF(INDEX(教室申込!$J$1:$J$212,$AW72)="","",INDEX(教室申込!$J$1:$J$212,$AW72)))</f>
        <v/>
      </c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" t="str">
        <f>IF(AND(ROW()-1&lt;=教室申込!$K$5,教室申込!$K$7=0,COUNTA(教室申込!$C$4)=1),INDEX(展開用!$B$2:$B$601,MATCH(ROW()-1,展開用!$E$2:$E$601,0)),"")</f>
        <v/>
      </c>
      <c r="AX72" s="1"/>
      <c r="AY72" s="1"/>
    </row>
    <row r="73" spans="1:51" ht="24" customHeight="1">
      <c r="A73" s="11"/>
      <c r="B73" s="11"/>
      <c r="C73" s="11"/>
      <c r="D73" s="11"/>
      <c r="E73" s="11"/>
      <c r="F73" s="11"/>
      <c r="G73" s="11"/>
      <c r="H73" s="11" t="str">
        <f>IF(AND(ROW()-1&lt;=教室申込!$K$5,教室申込!$K$7=0,COUNTA(教室申込!$C$4)=1),INDEX(展開用!$C$2:$C$601,MATCH(ROW()-1,展開用!$E$2:$E$601,0)),"")</f>
        <v/>
      </c>
      <c r="I73" s="11" t="str">
        <f>IF(AND(ROW()-1&lt;=教室申込!$K$5,教室申込!$K$7=0,COUNTA(教室申込!$C$4)=1),INDEX(展開用!$D$2:$D$601,MATCH(ROW()-1,展開用!$E$2:$E$601,0)),"")</f>
        <v/>
      </c>
      <c r="J73" s="11"/>
      <c r="K73" s="11"/>
      <c r="L73" s="11" t="str">
        <f>IF(AND(ROW()-1&lt;=教室申込!$K$5,教室申込!$K$7=0,COUNTA(教室申込!$C$4)=1),INDEX(教室申込!$B$1:$B$212,$AW73),"")</f>
        <v/>
      </c>
      <c r="M73" s="11" t="str">
        <f>IF(AND(ROW()-1&lt;=教室申込!$K$5,教室申込!$K$7=0,COUNTA(教室申込!$C$4)=1),INDEX(教室申込!$C$1:$C$212,$AW73),"")</f>
        <v/>
      </c>
      <c r="N73" s="11"/>
      <c r="O73" s="12" t="str">
        <f>IF(AND(ROW()-1&lt;=教室申込!$K$5,教室申込!$K$7=0,COUNTA(教室申込!$C$4)=1),INDEX(展開用!$G$2:$G$601,MATCH(ROW()-1,展開用!$E$2:$E$601,0)),"")</f>
        <v/>
      </c>
      <c r="P73" s="11"/>
      <c r="Q73" s="11"/>
      <c r="R73" s="11"/>
      <c r="S73" s="11"/>
      <c r="T73" s="11"/>
      <c r="U73" s="11" t="str">
        <f>IF(AND(ROW()-1&lt;=教室申込!$K$5,教室申込!$K$7=0,COUNTA(教室申込!$C$4)=1),INDEX(展開用!$F$2:$F$601,MATCH(ROW()-1,展開用!$E$2:$E$601,0)),"")</f>
        <v/>
      </c>
      <c r="V73" s="11"/>
      <c r="W73" s="11"/>
      <c r="X73" s="11"/>
      <c r="Y73" s="11"/>
      <c r="Z73" s="11"/>
      <c r="AA73" s="11" t="str">
        <f>IF($AW73="","",IF(INDEX(教室申込!$J$1:$J$212,$AW73)="","",INDEX(教室申込!$J$1:$J$212,$AW73)))</f>
        <v/>
      </c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" t="str">
        <f>IF(AND(ROW()-1&lt;=教室申込!$K$5,教室申込!$K$7=0,COUNTA(教室申込!$C$4)=1),INDEX(展開用!$B$2:$B$601,MATCH(ROW()-1,展開用!$E$2:$E$601,0)),"")</f>
        <v/>
      </c>
      <c r="AX73" s="1"/>
      <c r="AY73" s="1"/>
    </row>
    <row r="74" spans="1:51" ht="24" customHeight="1">
      <c r="A74" s="11"/>
      <c r="B74" s="11"/>
      <c r="C74" s="11"/>
      <c r="D74" s="11"/>
      <c r="E74" s="11"/>
      <c r="F74" s="11"/>
      <c r="G74" s="11"/>
      <c r="H74" s="11" t="str">
        <f>IF(AND(ROW()-1&lt;=教室申込!$K$5,教室申込!$K$7=0,COUNTA(教室申込!$C$4)=1),INDEX(展開用!$C$2:$C$601,MATCH(ROW()-1,展開用!$E$2:$E$601,0)),"")</f>
        <v/>
      </c>
      <c r="I74" s="11" t="str">
        <f>IF(AND(ROW()-1&lt;=教室申込!$K$5,教室申込!$K$7=0,COUNTA(教室申込!$C$4)=1),INDEX(展開用!$D$2:$D$601,MATCH(ROW()-1,展開用!$E$2:$E$601,0)),"")</f>
        <v/>
      </c>
      <c r="J74" s="11"/>
      <c r="K74" s="11"/>
      <c r="L74" s="11" t="str">
        <f>IF(AND(ROW()-1&lt;=教室申込!$K$5,教室申込!$K$7=0,COUNTA(教室申込!$C$4)=1),INDEX(教室申込!$B$1:$B$212,$AW74),"")</f>
        <v/>
      </c>
      <c r="M74" s="11" t="str">
        <f>IF(AND(ROW()-1&lt;=教室申込!$K$5,教室申込!$K$7=0,COUNTA(教室申込!$C$4)=1),INDEX(教室申込!$C$1:$C$212,$AW74),"")</f>
        <v/>
      </c>
      <c r="N74" s="11"/>
      <c r="O74" s="12" t="str">
        <f>IF(AND(ROW()-1&lt;=教室申込!$K$5,教室申込!$K$7=0,COUNTA(教室申込!$C$4)=1),INDEX(展開用!$G$2:$G$601,MATCH(ROW()-1,展開用!$E$2:$E$601,0)),"")</f>
        <v/>
      </c>
      <c r="P74" s="11"/>
      <c r="Q74" s="11"/>
      <c r="R74" s="11"/>
      <c r="S74" s="11"/>
      <c r="T74" s="11"/>
      <c r="U74" s="11" t="str">
        <f>IF(AND(ROW()-1&lt;=教室申込!$K$5,教室申込!$K$7=0,COUNTA(教室申込!$C$4)=1),INDEX(展開用!$F$2:$F$601,MATCH(ROW()-1,展開用!$E$2:$E$601,0)),"")</f>
        <v/>
      </c>
      <c r="V74" s="11"/>
      <c r="W74" s="11"/>
      <c r="X74" s="11"/>
      <c r="Y74" s="11"/>
      <c r="Z74" s="11"/>
      <c r="AA74" s="11" t="str">
        <f>IF($AW74="","",IF(INDEX(教室申込!$J$1:$J$212,$AW74)="","",INDEX(教室申込!$J$1:$J$212,$AW74)))</f>
        <v/>
      </c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" t="str">
        <f>IF(AND(ROW()-1&lt;=教室申込!$K$5,教室申込!$K$7=0,COUNTA(教室申込!$C$4)=1),INDEX(展開用!$B$2:$B$601,MATCH(ROW()-1,展開用!$E$2:$E$601,0)),"")</f>
        <v/>
      </c>
      <c r="AX74" s="1"/>
      <c r="AY74" s="1"/>
    </row>
    <row r="75" spans="1:51" ht="24" customHeight="1">
      <c r="A75" s="11"/>
      <c r="B75" s="11"/>
      <c r="C75" s="11"/>
      <c r="D75" s="11"/>
      <c r="E75" s="11"/>
      <c r="F75" s="11"/>
      <c r="G75" s="11"/>
      <c r="H75" s="11" t="str">
        <f>IF(AND(ROW()-1&lt;=教室申込!$K$5,教室申込!$K$7=0,COUNTA(教室申込!$C$4)=1),INDEX(展開用!$C$2:$C$601,MATCH(ROW()-1,展開用!$E$2:$E$601,0)),"")</f>
        <v/>
      </c>
      <c r="I75" s="11" t="str">
        <f>IF(AND(ROW()-1&lt;=教室申込!$K$5,教室申込!$K$7=0,COUNTA(教室申込!$C$4)=1),INDEX(展開用!$D$2:$D$601,MATCH(ROW()-1,展開用!$E$2:$E$601,0)),"")</f>
        <v/>
      </c>
      <c r="J75" s="11"/>
      <c r="K75" s="11"/>
      <c r="L75" s="11" t="str">
        <f>IF(AND(ROW()-1&lt;=教室申込!$K$5,教室申込!$K$7=0,COUNTA(教室申込!$C$4)=1),INDEX(教室申込!$B$1:$B$212,$AW75),"")</f>
        <v/>
      </c>
      <c r="M75" s="11" t="str">
        <f>IF(AND(ROW()-1&lt;=教室申込!$K$5,教室申込!$K$7=0,COUNTA(教室申込!$C$4)=1),INDEX(教室申込!$C$1:$C$212,$AW75),"")</f>
        <v/>
      </c>
      <c r="N75" s="11"/>
      <c r="O75" s="12" t="str">
        <f>IF(AND(ROW()-1&lt;=教室申込!$K$5,教室申込!$K$7=0,COUNTA(教室申込!$C$4)=1),INDEX(展開用!$G$2:$G$601,MATCH(ROW()-1,展開用!$E$2:$E$601,0)),"")</f>
        <v/>
      </c>
      <c r="P75" s="11"/>
      <c r="Q75" s="11"/>
      <c r="R75" s="11"/>
      <c r="S75" s="11"/>
      <c r="T75" s="11"/>
      <c r="U75" s="11" t="str">
        <f>IF(AND(ROW()-1&lt;=教室申込!$K$5,教室申込!$K$7=0,COUNTA(教室申込!$C$4)=1),INDEX(展開用!$F$2:$F$601,MATCH(ROW()-1,展開用!$E$2:$E$601,0)),"")</f>
        <v/>
      </c>
      <c r="V75" s="11"/>
      <c r="W75" s="11"/>
      <c r="X75" s="11"/>
      <c r="Y75" s="11"/>
      <c r="Z75" s="11"/>
      <c r="AA75" s="11" t="str">
        <f>IF($AW75="","",IF(INDEX(教室申込!$J$1:$J$212,$AW75)="","",INDEX(教室申込!$J$1:$J$212,$AW75)))</f>
        <v/>
      </c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" t="str">
        <f>IF(AND(ROW()-1&lt;=教室申込!$K$5,教室申込!$K$7=0,COUNTA(教室申込!$C$4)=1),INDEX(展開用!$B$2:$B$601,MATCH(ROW()-1,展開用!$E$2:$E$601,0)),"")</f>
        <v/>
      </c>
      <c r="AX75" s="1"/>
      <c r="AY75" s="1"/>
    </row>
    <row r="76" spans="1:51" ht="24" customHeight="1">
      <c r="A76" s="11"/>
      <c r="B76" s="11"/>
      <c r="C76" s="11"/>
      <c r="D76" s="11"/>
      <c r="E76" s="11"/>
      <c r="F76" s="11"/>
      <c r="G76" s="11"/>
      <c r="H76" s="11" t="str">
        <f>IF(AND(ROW()-1&lt;=教室申込!$K$5,教室申込!$K$7=0,COUNTA(教室申込!$C$4)=1),INDEX(展開用!$C$2:$C$601,MATCH(ROW()-1,展開用!$E$2:$E$601,0)),"")</f>
        <v/>
      </c>
      <c r="I76" s="11" t="str">
        <f>IF(AND(ROW()-1&lt;=教室申込!$K$5,教室申込!$K$7=0,COUNTA(教室申込!$C$4)=1),INDEX(展開用!$D$2:$D$601,MATCH(ROW()-1,展開用!$E$2:$E$601,0)),"")</f>
        <v/>
      </c>
      <c r="J76" s="11"/>
      <c r="K76" s="11"/>
      <c r="L76" s="11" t="str">
        <f>IF(AND(ROW()-1&lt;=教室申込!$K$5,教室申込!$K$7=0,COUNTA(教室申込!$C$4)=1),INDEX(教室申込!$B$1:$B$212,$AW76),"")</f>
        <v/>
      </c>
      <c r="M76" s="11" t="str">
        <f>IF(AND(ROW()-1&lt;=教室申込!$K$5,教室申込!$K$7=0,COUNTA(教室申込!$C$4)=1),INDEX(教室申込!$C$1:$C$212,$AW76),"")</f>
        <v/>
      </c>
      <c r="N76" s="11"/>
      <c r="O76" s="12" t="str">
        <f>IF(AND(ROW()-1&lt;=教室申込!$K$5,教室申込!$K$7=0,COUNTA(教室申込!$C$4)=1),INDEX(展開用!$G$2:$G$601,MATCH(ROW()-1,展開用!$E$2:$E$601,0)),"")</f>
        <v/>
      </c>
      <c r="P76" s="11"/>
      <c r="Q76" s="11"/>
      <c r="R76" s="11"/>
      <c r="S76" s="11"/>
      <c r="T76" s="11"/>
      <c r="U76" s="11" t="str">
        <f>IF(AND(ROW()-1&lt;=教室申込!$K$5,教室申込!$K$7=0,COUNTA(教室申込!$C$4)=1),INDEX(展開用!$F$2:$F$601,MATCH(ROW()-1,展開用!$E$2:$E$601,0)),"")</f>
        <v/>
      </c>
      <c r="V76" s="11"/>
      <c r="W76" s="11"/>
      <c r="X76" s="11"/>
      <c r="Y76" s="11"/>
      <c r="Z76" s="11"/>
      <c r="AA76" s="11" t="str">
        <f>IF($AW76="","",IF(INDEX(教室申込!$J$1:$J$212,$AW76)="","",INDEX(教室申込!$J$1:$J$212,$AW76)))</f>
        <v/>
      </c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" t="str">
        <f>IF(AND(ROW()-1&lt;=教室申込!$K$5,教室申込!$K$7=0,COUNTA(教室申込!$C$4)=1),INDEX(展開用!$B$2:$B$601,MATCH(ROW()-1,展開用!$E$2:$E$601,0)),"")</f>
        <v/>
      </c>
      <c r="AX76" s="1"/>
      <c r="AY76" s="1"/>
    </row>
    <row r="77" spans="1:51" ht="24" customHeight="1">
      <c r="A77" s="11"/>
      <c r="B77" s="11"/>
      <c r="C77" s="11"/>
      <c r="D77" s="11"/>
      <c r="E77" s="11"/>
      <c r="F77" s="11"/>
      <c r="G77" s="11"/>
      <c r="H77" s="11" t="str">
        <f>IF(AND(ROW()-1&lt;=教室申込!$K$5,教室申込!$K$7=0,COUNTA(教室申込!$C$4)=1),INDEX(展開用!$C$2:$C$601,MATCH(ROW()-1,展開用!$E$2:$E$601,0)),"")</f>
        <v/>
      </c>
      <c r="I77" s="11" t="str">
        <f>IF(AND(ROW()-1&lt;=教室申込!$K$5,教室申込!$K$7=0,COUNTA(教室申込!$C$4)=1),INDEX(展開用!$D$2:$D$601,MATCH(ROW()-1,展開用!$E$2:$E$601,0)),"")</f>
        <v/>
      </c>
      <c r="J77" s="11"/>
      <c r="K77" s="11"/>
      <c r="L77" s="11" t="str">
        <f>IF(AND(ROW()-1&lt;=教室申込!$K$5,教室申込!$K$7=0,COUNTA(教室申込!$C$4)=1),INDEX(教室申込!$B$1:$B$212,$AW77),"")</f>
        <v/>
      </c>
      <c r="M77" s="11" t="str">
        <f>IF(AND(ROW()-1&lt;=教室申込!$K$5,教室申込!$K$7=0,COUNTA(教室申込!$C$4)=1),INDEX(教室申込!$C$1:$C$212,$AW77),"")</f>
        <v/>
      </c>
      <c r="N77" s="11"/>
      <c r="O77" s="12" t="str">
        <f>IF(AND(ROW()-1&lt;=教室申込!$K$5,教室申込!$K$7=0,COUNTA(教室申込!$C$4)=1),INDEX(展開用!$G$2:$G$601,MATCH(ROW()-1,展開用!$E$2:$E$601,0)),"")</f>
        <v/>
      </c>
      <c r="P77" s="11"/>
      <c r="Q77" s="11"/>
      <c r="R77" s="11"/>
      <c r="S77" s="11"/>
      <c r="T77" s="11"/>
      <c r="U77" s="11" t="str">
        <f>IF(AND(ROW()-1&lt;=教室申込!$K$5,教室申込!$K$7=0,COUNTA(教室申込!$C$4)=1),INDEX(展開用!$F$2:$F$601,MATCH(ROW()-1,展開用!$E$2:$E$601,0)),"")</f>
        <v/>
      </c>
      <c r="V77" s="11"/>
      <c r="W77" s="11"/>
      <c r="X77" s="11"/>
      <c r="Y77" s="11"/>
      <c r="Z77" s="11"/>
      <c r="AA77" s="11" t="str">
        <f>IF($AW77="","",IF(INDEX(教室申込!$J$1:$J$212,$AW77)="","",INDEX(教室申込!$J$1:$J$212,$AW77)))</f>
        <v/>
      </c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" t="str">
        <f>IF(AND(ROW()-1&lt;=教室申込!$K$5,教室申込!$K$7=0,COUNTA(教室申込!$C$4)=1),INDEX(展開用!$B$2:$B$601,MATCH(ROW()-1,展開用!$E$2:$E$601,0)),"")</f>
        <v/>
      </c>
      <c r="AX77" s="1"/>
      <c r="AY77" s="1"/>
    </row>
    <row r="78" spans="1:51" ht="24" customHeight="1">
      <c r="A78" s="11"/>
      <c r="B78" s="11"/>
      <c r="C78" s="11"/>
      <c r="D78" s="11"/>
      <c r="E78" s="11"/>
      <c r="F78" s="11"/>
      <c r="G78" s="11"/>
      <c r="H78" s="11" t="str">
        <f>IF(AND(ROW()-1&lt;=教室申込!$K$5,教室申込!$K$7=0,COUNTA(教室申込!$C$4)=1),INDEX(展開用!$C$2:$C$601,MATCH(ROW()-1,展開用!$E$2:$E$601,0)),"")</f>
        <v/>
      </c>
      <c r="I78" s="11" t="str">
        <f>IF(AND(ROW()-1&lt;=教室申込!$K$5,教室申込!$K$7=0,COUNTA(教室申込!$C$4)=1),INDEX(展開用!$D$2:$D$601,MATCH(ROW()-1,展開用!$E$2:$E$601,0)),"")</f>
        <v/>
      </c>
      <c r="J78" s="11"/>
      <c r="K78" s="11"/>
      <c r="L78" s="11" t="str">
        <f>IF(AND(ROW()-1&lt;=教室申込!$K$5,教室申込!$K$7=0,COUNTA(教室申込!$C$4)=1),INDEX(教室申込!$B$1:$B$212,$AW78),"")</f>
        <v/>
      </c>
      <c r="M78" s="11" t="str">
        <f>IF(AND(ROW()-1&lt;=教室申込!$K$5,教室申込!$K$7=0,COUNTA(教室申込!$C$4)=1),INDEX(教室申込!$C$1:$C$212,$AW78),"")</f>
        <v/>
      </c>
      <c r="N78" s="11"/>
      <c r="O78" s="12" t="str">
        <f>IF(AND(ROW()-1&lt;=教室申込!$K$5,教室申込!$K$7=0,COUNTA(教室申込!$C$4)=1),INDEX(展開用!$G$2:$G$601,MATCH(ROW()-1,展開用!$E$2:$E$601,0)),"")</f>
        <v/>
      </c>
      <c r="P78" s="11"/>
      <c r="Q78" s="11"/>
      <c r="R78" s="11"/>
      <c r="S78" s="11"/>
      <c r="T78" s="11"/>
      <c r="U78" s="11" t="str">
        <f>IF(AND(ROW()-1&lt;=教室申込!$K$5,教室申込!$K$7=0,COUNTA(教室申込!$C$4)=1),INDEX(展開用!$F$2:$F$601,MATCH(ROW()-1,展開用!$E$2:$E$601,0)),"")</f>
        <v/>
      </c>
      <c r="V78" s="11"/>
      <c r="W78" s="11"/>
      <c r="X78" s="11"/>
      <c r="Y78" s="11"/>
      <c r="Z78" s="11"/>
      <c r="AA78" s="11" t="str">
        <f>IF($AW78="","",IF(INDEX(教室申込!$J$1:$J$212,$AW78)="","",INDEX(教室申込!$J$1:$J$212,$AW78)))</f>
        <v/>
      </c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" t="str">
        <f>IF(AND(ROW()-1&lt;=教室申込!$K$5,教室申込!$K$7=0,COUNTA(教室申込!$C$4)=1),INDEX(展開用!$B$2:$B$601,MATCH(ROW()-1,展開用!$E$2:$E$601,0)),"")</f>
        <v/>
      </c>
      <c r="AX78" s="1"/>
      <c r="AY78" s="1"/>
    </row>
    <row r="79" spans="1:51" ht="24" customHeight="1">
      <c r="A79" s="11"/>
      <c r="B79" s="11"/>
      <c r="C79" s="11"/>
      <c r="D79" s="11"/>
      <c r="E79" s="11"/>
      <c r="F79" s="11"/>
      <c r="G79" s="11"/>
      <c r="H79" s="11" t="str">
        <f>IF(AND(ROW()-1&lt;=教室申込!$K$5,教室申込!$K$7=0,COUNTA(教室申込!$C$4)=1),INDEX(展開用!$C$2:$C$601,MATCH(ROW()-1,展開用!$E$2:$E$601,0)),"")</f>
        <v/>
      </c>
      <c r="I79" s="11" t="str">
        <f>IF(AND(ROW()-1&lt;=教室申込!$K$5,教室申込!$K$7=0,COUNTA(教室申込!$C$4)=1),INDEX(展開用!$D$2:$D$601,MATCH(ROW()-1,展開用!$E$2:$E$601,0)),"")</f>
        <v/>
      </c>
      <c r="J79" s="11"/>
      <c r="K79" s="11"/>
      <c r="L79" s="11" t="str">
        <f>IF(AND(ROW()-1&lt;=教室申込!$K$5,教室申込!$K$7=0,COUNTA(教室申込!$C$4)=1),INDEX(教室申込!$B$1:$B$212,$AW79),"")</f>
        <v/>
      </c>
      <c r="M79" s="11" t="str">
        <f>IF(AND(ROW()-1&lt;=教室申込!$K$5,教室申込!$K$7=0,COUNTA(教室申込!$C$4)=1),INDEX(教室申込!$C$1:$C$212,$AW79),"")</f>
        <v/>
      </c>
      <c r="N79" s="11"/>
      <c r="O79" s="12" t="str">
        <f>IF(AND(ROW()-1&lt;=教室申込!$K$5,教室申込!$K$7=0,COUNTA(教室申込!$C$4)=1),INDEX(展開用!$G$2:$G$601,MATCH(ROW()-1,展開用!$E$2:$E$601,0)),"")</f>
        <v/>
      </c>
      <c r="P79" s="11"/>
      <c r="Q79" s="11"/>
      <c r="R79" s="11"/>
      <c r="S79" s="11"/>
      <c r="T79" s="11"/>
      <c r="U79" s="11" t="str">
        <f>IF(AND(ROW()-1&lt;=教室申込!$K$5,教室申込!$K$7=0,COUNTA(教室申込!$C$4)=1),INDEX(展開用!$F$2:$F$601,MATCH(ROW()-1,展開用!$E$2:$E$601,0)),"")</f>
        <v/>
      </c>
      <c r="V79" s="11"/>
      <c r="W79" s="11"/>
      <c r="X79" s="11"/>
      <c r="Y79" s="11"/>
      <c r="Z79" s="11"/>
      <c r="AA79" s="11" t="str">
        <f>IF($AW79="","",IF(INDEX(教室申込!$J$1:$J$212,$AW79)="","",INDEX(教室申込!$J$1:$J$212,$AW79)))</f>
        <v/>
      </c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" t="str">
        <f>IF(AND(ROW()-1&lt;=教室申込!$K$5,教室申込!$K$7=0,COUNTA(教室申込!$C$4)=1),INDEX(展開用!$B$2:$B$601,MATCH(ROW()-1,展開用!$E$2:$E$601,0)),"")</f>
        <v/>
      </c>
      <c r="AX79" s="1"/>
      <c r="AY79" s="1"/>
    </row>
    <row r="80" spans="1:51" ht="24" customHeight="1">
      <c r="A80" s="11"/>
      <c r="B80" s="11"/>
      <c r="C80" s="11"/>
      <c r="D80" s="11"/>
      <c r="E80" s="11"/>
      <c r="F80" s="11"/>
      <c r="G80" s="11"/>
      <c r="H80" s="11" t="str">
        <f>IF(AND(ROW()-1&lt;=教室申込!$K$5,教室申込!$K$7=0,COUNTA(教室申込!$C$4)=1),INDEX(展開用!$C$2:$C$601,MATCH(ROW()-1,展開用!$E$2:$E$601,0)),"")</f>
        <v/>
      </c>
      <c r="I80" s="11" t="str">
        <f>IF(AND(ROW()-1&lt;=教室申込!$K$5,教室申込!$K$7=0,COUNTA(教室申込!$C$4)=1),INDEX(展開用!$D$2:$D$601,MATCH(ROW()-1,展開用!$E$2:$E$601,0)),"")</f>
        <v/>
      </c>
      <c r="J80" s="11"/>
      <c r="K80" s="11"/>
      <c r="L80" s="11" t="str">
        <f>IF(AND(ROW()-1&lt;=教室申込!$K$5,教室申込!$K$7=0,COUNTA(教室申込!$C$4)=1),INDEX(教室申込!$B$1:$B$212,$AW80),"")</f>
        <v/>
      </c>
      <c r="M80" s="11" t="str">
        <f>IF(AND(ROW()-1&lt;=教室申込!$K$5,教室申込!$K$7=0,COUNTA(教室申込!$C$4)=1),INDEX(教室申込!$C$1:$C$212,$AW80),"")</f>
        <v/>
      </c>
      <c r="N80" s="11"/>
      <c r="O80" s="12" t="str">
        <f>IF(AND(ROW()-1&lt;=教室申込!$K$5,教室申込!$K$7=0,COUNTA(教室申込!$C$4)=1),INDEX(展開用!$G$2:$G$601,MATCH(ROW()-1,展開用!$E$2:$E$601,0)),"")</f>
        <v/>
      </c>
      <c r="P80" s="11"/>
      <c r="Q80" s="11"/>
      <c r="R80" s="11"/>
      <c r="S80" s="11"/>
      <c r="T80" s="11"/>
      <c r="U80" s="11" t="str">
        <f>IF(AND(ROW()-1&lt;=教室申込!$K$5,教室申込!$K$7=0,COUNTA(教室申込!$C$4)=1),INDEX(展開用!$F$2:$F$601,MATCH(ROW()-1,展開用!$E$2:$E$601,0)),"")</f>
        <v/>
      </c>
      <c r="V80" s="11"/>
      <c r="W80" s="11"/>
      <c r="X80" s="11"/>
      <c r="Y80" s="11"/>
      <c r="Z80" s="11"/>
      <c r="AA80" s="11" t="str">
        <f>IF($AW80="","",IF(INDEX(教室申込!$J$1:$J$212,$AW80)="","",INDEX(教室申込!$J$1:$J$212,$AW80)))</f>
        <v/>
      </c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" t="str">
        <f>IF(AND(ROW()-1&lt;=教室申込!$K$5,教室申込!$K$7=0,COUNTA(教室申込!$C$4)=1),INDEX(展開用!$B$2:$B$601,MATCH(ROW()-1,展開用!$E$2:$E$601,0)),"")</f>
        <v/>
      </c>
      <c r="AX80" s="1"/>
      <c r="AY80" s="1"/>
    </row>
    <row r="81" spans="1:51" ht="24" customHeight="1">
      <c r="A81" s="11"/>
      <c r="B81" s="11"/>
      <c r="C81" s="11"/>
      <c r="D81" s="11"/>
      <c r="E81" s="11"/>
      <c r="F81" s="11"/>
      <c r="G81" s="11"/>
      <c r="H81" s="11" t="str">
        <f>IF(AND(ROW()-1&lt;=教室申込!$K$5,教室申込!$K$7=0,COUNTA(教室申込!$C$4)=1),INDEX(展開用!$C$2:$C$601,MATCH(ROW()-1,展開用!$E$2:$E$601,0)),"")</f>
        <v/>
      </c>
      <c r="I81" s="11" t="str">
        <f>IF(AND(ROW()-1&lt;=教室申込!$K$5,教室申込!$K$7=0,COUNTA(教室申込!$C$4)=1),INDEX(展開用!$D$2:$D$601,MATCH(ROW()-1,展開用!$E$2:$E$601,0)),"")</f>
        <v/>
      </c>
      <c r="J81" s="11"/>
      <c r="K81" s="11"/>
      <c r="L81" s="11" t="str">
        <f>IF(AND(ROW()-1&lt;=教室申込!$K$5,教室申込!$K$7=0,COUNTA(教室申込!$C$4)=1),INDEX(教室申込!$B$1:$B$212,$AW81),"")</f>
        <v/>
      </c>
      <c r="M81" s="11" t="str">
        <f>IF(AND(ROW()-1&lt;=教室申込!$K$5,教室申込!$K$7=0,COUNTA(教室申込!$C$4)=1),INDEX(教室申込!$C$1:$C$212,$AW81),"")</f>
        <v/>
      </c>
      <c r="N81" s="11"/>
      <c r="O81" s="12" t="str">
        <f>IF(AND(ROW()-1&lt;=教室申込!$K$5,教室申込!$K$7=0,COUNTA(教室申込!$C$4)=1),INDEX(展開用!$G$2:$G$601,MATCH(ROW()-1,展開用!$E$2:$E$601,0)),"")</f>
        <v/>
      </c>
      <c r="P81" s="11"/>
      <c r="Q81" s="11"/>
      <c r="R81" s="11"/>
      <c r="S81" s="11"/>
      <c r="T81" s="11"/>
      <c r="U81" s="11" t="str">
        <f>IF(AND(ROW()-1&lt;=教室申込!$K$5,教室申込!$K$7=0,COUNTA(教室申込!$C$4)=1),INDEX(展開用!$F$2:$F$601,MATCH(ROW()-1,展開用!$E$2:$E$601,0)),"")</f>
        <v/>
      </c>
      <c r="V81" s="11"/>
      <c r="W81" s="11"/>
      <c r="X81" s="11"/>
      <c r="Y81" s="11"/>
      <c r="Z81" s="11"/>
      <c r="AA81" s="11" t="str">
        <f>IF($AW81="","",IF(INDEX(教室申込!$J$1:$J$212,$AW81)="","",INDEX(教室申込!$J$1:$J$212,$AW81)))</f>
        <v/>
      </c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" t="str">
        <f>IF(AND(ROW()-1&lt;=教室申込!$K$5,教室申込!$K$7=0,COUNTA(教室申込!$C$4)=1),INDEX(展開用!$B$2:$B$601,MATCH(ROW()-1,展開用!$E$2:$E$601,0)),"")</f>
        <v/>
      </c>
      <c r="AX81" s="1"/>
      <c r="AY81" s="1"/>
    </row>
    <row r="82" spans="1:51" ht="24" customHeight="1">
      <c r="A82" s="11"/>
      <c r="B82" s="11"/>
      <c r="C82" s="11"/>
      <c r="D82" s="11"/>
      <c r="E82" s="11"/>
      <c r="F82" s="11"/>
      <c r="G82" s="11"/>
      <c r="H82" s="11" t="str">
        <f>IF(AND(ROW()-1&lt;=教室申込!$K$5,教室申込!$K$7=0,COUNTA(教室申込!$C$4)=1),INDEX(展開用!$C$2:$C$601,MATCH(ROW()-1,展開用!$E$2:$E$601,0)),"")</f>
        <v/>
      </c>
      <c r="I82" s="11" t="str">
        <f>IF(AND(ROW()-1&lt;=教室申込!$K$5,教室申込!$K$7=0,COUNTA(教室申込!$C$4)=1),INDEX(展開用!$D$2:$D$601,MATCH(ROW()-1,展開用!$E$2:$E$601,0)),"")</f>
        <v/>
      </c>
      <c r="J82" s="11"/>
      <c r="K82" s="11"/>
      <c r="L82" s="11" t="str">
        <f>IF(AND(ROW()-1&lt;=教室申込!$K$5,教室申込!$K$7=0,COUNTA(教室申込!$C$4)=1),INDEX(教室申込!$B$1:$B$212,$AW82),"")</f>
        <v/>
      </c>
      <c r="M82" s="11" t="str">
        <f>IF(AND(ROW()-1&lt;=教室申込!$K$5,教室申込!$K$7=0,COUNTA(教室申込!$C$4)=1),INDEX(教室申込!$C$1:$C$212,$AW82),"")</f>
        <v/>
      </c>
      <c r="N82" s="11"/>
      <c r="O82" s="12" t="str">
        <f>IF(AND(ROW()-1&lt;=教室申込!$K$5,教室申込!$K$7=0,COUNTA(教室申込!$C$4)=1),INDEX(展開用!$G$2:$G$601,MATCH(ROW()-1,展開用!$E$2:$E$601,0)),"")</f>
        <v/>
      </c>
      <c r="P82" s="11"/>
      <c r="Q82" s="11"/>
      <c r="R82" s="11"/>
      <c r="S82" s="11"/>
      <c r="T82" s="11"/>
      <c r="U82" s="11" t="str">
        <f>IF(AND(ROW()-1&lt;=教室申込!$K$5,教室申込!$K$7=0,COUNTA(教室申込!$C$4)=1),INDEX(展開用!$F$2:$F$601,MATCH(ROW()-1,展開用!$E$2:$E$601,0)),"")</f>
        <v/>
      </c>
      <c r="V82" s="11"/>
      <c r="W82" s="11"/>
      <c r="X82" s="11"/>
      <c r="Y82" s="11"/>
      <c r="Z82" s="11"/>
      <c r="AA82" s="11" t="str">
        <f>IF($AW82="","",IF(INDEX(教室申込!$J$1:$J$212,$AW82)="","",INDEX(教室申込!$J$1:$J$212,$AW82)))</f>
        <v/>
      </c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" t="str">
        <f>IF(AND(ROW()-1&lt;=教室申込!$K$5,教室申込!$K$7=0,COUNTA(教室申込!$C$4)=1),INDEX(展開用!$B$2:$B$601,MATCH(ROW()-1,展開用!$E$2:$E$601,0)),"")</f>
        <v/>
      </c>
      <c r="AX82" s="1"/>
      <c r="AY82" s="1"/>
    </row>
    <row r="83" spans="1:51" ht="24" customHeight="1">
      <c r="A83" s="11"/>
      <c r="B83" s="11"/>
      <c r="C83" s="11"/>
      <c r="D83" s="11"/>
      <c r="E83" s="11"/>
      <c r="F83" s="11"/>
      <c r="G83" s="11"/>
      <c r="H83" s="11" t="str">
        <f>IF(AND(ROW()-1&lt;=教室申込!$K$5,教室申込!$K$7=0,COUNTA(教室申込!$C$4)=1),INDEX(展開用!$C$2:$C$601,MATCH(ROW()-1,展開用!$E$2:$E$601,0)),"")</f>
        <v/>
      </c>
      <c r="I83" s="11" t="str">
        <f>IF(AND(ROW()-1&lt;=教室申込!$K$5,教室申込!$K$7=0,COUNTA(教室申込!$C$4)=1),INDEX(展開用!$D$2:$D$601,MATCH(ROW()-1,展開用!$E$2:$E$601,0)),"")</f>
        <v/>
      </c>
      <c r="J83" s="11"/>
      <c r="K83" s="11"/>
      <c r="L83" s="11" t="str">
        <f>IF(AND(ROW()-1&lt;=教室申込!$K$5,教室申込!$K$7=0,COUNTA(教室申込!$C$4)=1),INDEX(教室申込!$B$1:$B$212,$AW83),"")</f>
        <v/>
      </c>
      <c r="M83" s="11" t="str">
        <f>IF(AND(ROW()-1&lt;=教室申込!$K$5,教室申込!$K$7=0,COUNTA(教室申込!$C$4)=1),INDEX(教室申込!$C$1:$C$212,$AW83),"")</f>
        <v/>
      </c>
      <c r="N83" s="11"/>
      <c r="O83" s="12" t="str">
        <f>IF(AND(ROW()-1&lt;=教室申込!$K$5,教室申込!$K$7=0,COUNTA(教室申込!$C$4)=1),INDEX(展開用!$G$2:$G$601,MATCH(ROW()-1,展開用!$E$2:$E$601,0)),"")</f>
        <v/>
      </c>
      <c r="P83" s="11"/>
      <c r="Q83" s="11"/>
      <c r="R83" s="11"/>
      <c r="S83" s="11"/>
      <c r="T83" s="11"/>
      <c r="U83" s="11" t="str">
        <f>IF(AND(ROW()-1&lt;=教室申込!$K$5,教室申込!$K$7=0,COUNTA(教室申込!$C$4)=1),INDEX(展開用!$F$2:$F$601,MATCH(ROW()-1,展開用!$E$2:$E$601,0)),"")</f>
        <v/>
      </c>
      <c r="V83" s="11"/>
      <c r="W83" s="11"/>
      <c r="X83" s="11"/>
      <c r="Y83" s="11"/>
      <c r="Z83" s="11"/>
      <c r="AA83" s="11" t="str">
        <f>IF($AW83="","",IF(INDEX(教室申込!$J$1:$J$212,$AW83)="","",INDEX(教室申込!$J$1:$J$212,$AW83)))</f>
        <v/>
      </c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" t="str">
        <f>IF(AND(ROW()-1&lt;=教室申込!$K$5,教室申込!$K$7=0,COUNTA(教室申込!$C$4)=1),INDEX(展開用!$B$2:$B$601,MATCH(ROW()-1,展開用!$E$2:$E$601,0)),"")</f>
        <v/>
      </c>
      <c r="AX83" s="1"/>
      <c r="AY83" s="1"/>
    </row>
    <row r="84" spans="1:51" ht="24" customHeight="1">
      <c r="A84" s="11"/>
      <c r="B84" s="11"/>
      <c r="C84" s="11"/>
      <c r="D84" s="11"/>
      <c r="E84" s="11"/>
      <c r="F84" s="11"/>
      <c r="G84" s="11"/>
      <c r="H84" s="11" t="str">
        <f>IF(AND(ROW()-1&lt;=教室申込!$K$5,教室申込!$K$7=0,COUNTA(教室申込!$C$4)=1),INDEX(展開用!$C$2:$C$601,MATCH(ROW()-1,展開用!$E$2:$E$601,0)),"")</f>
        <v/>
      </c>
      <c r="I84" s="11" t="str">
        <f>IF(AND(ROW()-1&lt;=教室申込!$K$5,教室申込!$K$7=0,COUNTA(教室申込!$C$4)=1),INDEX(展開用!$D$2:$D$601,MATCH(ROW()-1,展開用!$E$2:$E$601,0)),"")</f>
        <v/>
      </c>
      <c r="J84" s="11"/>
      <c r="K84" s="11"/>
      <c r="L84" s="11" t="str">
        <f>IF(AND(ROW()-1&lt;=教室申込!$K$5,教室申込!$K$7=0,COUNTA(教室申込!$C$4)=1),INDEX(教室申込!$B$1:$B$212,$AW84),"")</f>
        <v/>
      </c>
      <c r="M84" s="11" t="str">
        <f>IF(AND(ROW()-1&lt;=教室申込!$K$5,教室申込!$K$7=0,COUNTA(教室申込!$C$4)=1),INDEX(教室申込!$C$1:$C$212,$AW84),"")</f>
        <v/>
      </c>
      <c r="N84" s="11"/>
      <c r="O84" s="12" t="str">
        <f>IF(AND(ROW()-1&lt;=教室申込!$K$5,教室申込!$K$7=0,COUNTA(教室申込!$C$4)=1),INDEX(展開用!$G$2:$G$601,MATCH(ROW()-1,展開用!$E$2:$E$601,0)),"")</f>
        <v/>
      </c>
      <c r="P84" s="11"/>
      <c r="Q84" s="11"/>
      <c r="R84" s="11"/>
      <c r="S84" s="11"/>
      <c r="T84" s="11"/>
      <c r="U84" s="11" t="str">
        <f>IF(AND(ROW()-1&lt;=教室申込!$K$5,教室申込!$K$7=0,COUNTA(教室申込!$C$4)=1),INDEX(展開用!$F$2:$F$601,MATCH(ROW()-1,展開用!$E$2:$E$601,0)),"")</f>
        <v/>
      </c>
      <c r="V84" s="11"/>
      <c r="W84" s="11"/>
      <c r="X84" s="11"/>
      <c r="Y84" s="11"/>
      <c r="Z84" s="11"/>
      <c r="AA84" s="11" t="str">
        <f>IF($AW84="","",IF(INDEX(教室申込!$J$1:$J$212,$AW84)="","",INDEX(教室申込!$J$1:$J$212,$AW84)))</f>
        <v/>
      </c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" t="str">
        <f>IF(AND(ROW()-1&lt;=教室申込!$K$5,教室申込!$K$7=0,COUNTA(教室申込!$C$4)=1),INDEX(展開用!$B$2:$B$601,MATCH(ROW()-1,展開用!$E$2:$E$601,0)),"")</f>
        <v/>
      </c>
      <c r="AX84" s="1"/>
      <c r="AY84" s="1"/>
    </row>
    <row r="85" spans="1:51" ht="24" customHeight="1">
      <c r="A85" s="11"/>
      <c r="B85" s="11"/>
      <c r="C85" s="11"/>
      <c r="D85" s="11"/>
      <c r="E85" s="11"/>
      <c r="F85" s="11"/>
      <c r="G85" s="11"/>
      <c r="H85" s="11" t="str">
        <f>IF(AND(ROW()-1&lt;=教室申込!$K$5,教室申込!$K$7=0,COUNTA(教室申込!$C$4)=1),INDEX(展開用!$C$2:$C$601,MATCH(ROW()-1,展開用!$E$2:$E$601,0)),"")</f>
        <v/>
      </c>
      <c r="I85" s="11" t="str">
        <f>IF(AND(ROW()-1&lt;=教室申込!$K$5,教室申込!$K$7=0,COUNTA(教室申込!$C$4)=1),INDEX(展開用!$D$2:$D$601,MATCH(ROW()-1,展開用!$E$2:$E$601,0)),"")</f>
        <v/>
      </c>
      <c r="J85" s="11"/>
      <c r="K85" s="11"/>
      <c r="L85" s="11" t="str">
        <f>IF(AND(ROW()-1&lt;=教室申込!$K$5,教室申込!$K$7=0,COUNTA(教室申込!$C$4)=1),INDEX(教室申込!$B$1:$B$212,$AW85),"")</f>
        <v/>
      </c>
      <c r="M85" s="11" t="str">
        <f>IF(AND(ROW()-1&lt;=教室申込!$K$5,教室申込!$K$7=0,COUNTA(教室申込!$C$4)=1),INDEX(教室申込!$C$1:$C$212,$AW85),"")</f>
        <v/>
      </c>
      <c r="N85" s="11"/>
      <c r="O85" s="12" t="str">
        <f>IF(AND(ROW()-1&lt;=教室申込!$K$5,教室申込!$K$7=0,COUNTA(教室申込!$C$4)=1),INDEX(展開用!$G$2:$G$601,MATCH(ROW()-1,展開用!$E$2:$E$601,0)),"")</f>
        <v/>
      </c>
      <c r="P85" s="11"/>
      <c r="Q85" s="11"/>
      <c r="R85" s="11"/>
      <c r="S85" s="11"/>
      <c r="T85" s="11"/>
      <c r="U85" s="11" t="str">
        <f>IF(AND(ROW()-1&lt;=教室申込!$K$5,教室申込!$K$7=0,COUNTA(教室申込!$C$4)=1),INDEX(展開用!$F$2:$F$601,MATCH(ROW()-1,展開用!$E$2:$E$601,0)),"")</f>
        <v/>
      </c>
      <c r="V85" s="11"/>
      <c r="W85" s="11"/>
      <c r="X85" s="11"/>
      <c r="Y85" s="11"/>
      <c r="Z85" s="11"/>
      <c r="AA85" s="11" t="str">
        <f>IF($AW85="","",IF(INDEX(教室申込!$J$1:$J$212,$AW85)="","",INDEX(教室申込!$J$1:$J$212,$AW85)))</f>
        <v/>
      </c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" t="str">
        <f>IF(AND(ROW()-1&lt;=教室申込!$K$5,教室申込!$K$7=0,COUNTA(教室申込!$C$4)=1),INDEX(展開用!$B$2:$B$601,MATCH(ROW()-1,展開用!$E$2:$E$601,0)),"")</f>
        <v/>
      </c>
      <c r="AX85" s="1"/>
      <c r="AY85" s="1"/>
    </row>
    <row r="86" spans="1:51" ht="24" customHeight="1">
      <c r="A86" s="11"/>
      <c r="B86" s="11"/>
      <c r="C86" s="11"/>
      <c r="D86" s="11"/>
      <c r="E86" s="11"/>
      <c r="F86" s="11"/>
      <c r="G86" s="11"/>
      <c r="H86" s="11" t="str">
        <f>IF(AND(ROW()-1&lt;=教室申込!$K$5,教室申込!$K$7=0,COUNTA(教室申込!$C$4)=1),INDEX(展開用!$C$2:$C$601,MATCH(ROW()-1,展開用!$E$2:$E$601,0)),"")</f>
        <v/>
      </c>
      <c r="I86" s="11" t="str">
        <f>IF(AND(ROW()-1&lt;=教室申込!$K$5,教室申込!$K$7=0,COUNTA(教室申込!$C$4)=1),INDEX(展開用!$D$2:$D$601,MATCH(ROW()-1,展開用!$E$2:$E$601,0)),"")</f>
        <v/>
      </c>
      <c r="J86" s="11"/>
      <c r="K86" s="11"/>
      <c r="L86" s="11" t="str">
        <f>IF(AND(ROW()-1&lt;=教室申込!$K$5,教室申込!$K$7=0,COUNTA(教室申込!$C$4)=1),INDEX(教室申込!$B$1:$B$212,$AW86),"")</f>
        <v/>
      </c>
      <c r="M86" s="11" t="str">
        <f>IF(AND(ROW()-1&lt;=教室申込!$K$5,教室申込!$K$7=0,COUNTA(教室申込!$C$4)=1),INDEX(教室申込!$C$1:$C$212,$AW86),"")</f>
        <v/>
      </c>
      <c r="N86" s="11"/>
      <c r="O86" s="12" t="str">
        <f>IF(AND(ROW()-1&lt;=教室申込!$K$5,教室申込!$K$7=0,COUNTA(教室申込!$C$4)=1),INDEX(展開用!$G$2:$G$601,MATCH(ROW()-1,展開用!$E$2:$E$601,0)),"")</f>
        <v/>
      </c>
      <c r="P86" s="11"/>
      <c r="Q86" s="11"/>
      <c r="R86" s="11"/>
      <c r="S86" s="11"/>
      <c r="T86" s="11"/>
      <c r="U86" s="11" t="str">
        <f>IF(AND(ROW()-1&lt;=教室申込!$K$5,教室申込!$K$7=0,COUNTA(教室申込!$C$4)=1),INDEX(展開用!$F$2:$F$601,MATCH(ROW()-1,展開用!$E$2:$E$601,0)),"")</f>
        <v/>
      </c>
      <c r="V86" s="11"/>
      <c r="W86" s="11"/>
      <c r="X86" s="11"/>
      <c r="Y86" s="11"/>
      <c r="Z86" s="11"/>
      <c r="AA86" s="11" t="str">
        <f>IF($AW86="","",IF(INDEX(教室申込!$J$1:$J$212,$AW86)="","",INDEX(教室申込!$J$1:$J$212,$AW86)))</f>
        <v/>
      </c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" t="str">
        <f>IF(AND(ROW()-1&lt;=教室申込!$K$5,教室申込!$K$7=0,COUNTA(教室申込!$C$4)=1),INDEX(展開用!$B$2:$B$601,MATCH(ROW()-1,展開用!$E$2:$E$601,0)),"")</f>
        <v/>
      </c>
      <c r="AX86" s="1"/>
      <c r="AY86" s="1"/>
    </row>
    <row r="87" spans="1:51" ht="24" customHeight="1">
      <c r="A87" s="11"/>
      <c r="B87" s="11"/>
      <c r="C87" s="11"/>
      <c r="D87" s="11"/>
      <c r="E87" s="11"/>
      <c r="F87" s="11"/>
      <c r="G87" s="11"/>
      <c r="H87" s="11" t="str">
        <f>IF(AND(ROW()-1&lt;=教室申込!$K$5,教室申込!$K$7=0,COUNTA(教室申込!$C$4)=1),INDEX(展開用!$C$2:$C$601,MATCH(ROW()-1,展開用!$E$2:$E$601,0)),"")</f>
        <v/>
      </c>
      <c r="I87" s="11" t="str">
        <f>IF(AND(ROW()-1&lt;=教室申込!$K$5,教室申込!$K$7=0,COUNTA(教室申込!$C$4)=1),INDEX(展開用!$D$2:$D$601,MATCH(ROW()-1,展開用!$E$2:$E$601,0)),"")</f>
        <v/>
      </c>
      <c r="J87" s="11"/>
      <c r="K87" s="11"/>
      <c r="L87" s="11" t="str">
        <f>IF(AND(ROW()-1&lt;=教室申込!$K$5,教室申込!$K$7=0,COUNTA(教室申込!$C$4)=1),INDEX(教室申込!$B$1:$B$212,$AW87),"")</f>
        <v/>
      </c>
      <c r="M87" s="11" t="str">
        <f>IF(AND(ROW()-1&lt;=教室申込!$K$5,教室申込!$K$7=0,COUNTA(教室申込!$C$4)=1),INDEX(教室申込!$C$1:$C$212,$AW87),"")</f>
        <v/>
      </c>
      <c r="N87" s="11"/>
      <c r="O87" s="12" t="str">
        <f>IF(AND(ROW()-1&lt;=教室申込!$K$5,教室申込!$K$7=0,COUNTA(教室申込!$C$4)=1),INDEX(展開用!$G$2:$G$601,MATCH(ROW()-1,展開用!$E$2:$E$601,0)),"")</f>
        <v/>
      </c>
      <c r="P87" s="11"/>
      <c r="Q87" s="11"/>
      <c r="R87" s="11"/>
      <c r="S87" s="11"/>
      <c r="T87" s="11"/>
      <c r="U87" s="11" t="str">
        <f>IF(AND(ROW()-1&lt;=教室申込!$K$5,教室申込!$K$7=0,COUNTA(教室申込!$C$4)=1),INDEX(展開用!$F$2:$F$601,MATCH(ROW()-1,展開用!$E$2:$E$601,0)),"")</f>
        <v/>
      </c>
      <c r="V87" s="11"/>
      <c r="W87" s="11"/>
      <c r="X87" s="11"/>
      <c r="Y87" s="11"/>
      <c r="Z87" s="11"/>
      <c r="AA87" s="11" t="str">
        <f>IF($AW87="","",IF(INDEX(教室申込!$J$1:$J$212,$AW87)="","",INDEX(教室申込!$J$1:$J$212,$AW87)))</f>
        <v/>
      </c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" t="str">
        <f>IF(AND(ROW()-1&lt;=教室申込!$K$5,教室申込!$K$7=0,COUNTA(教室申込!$C$4)=1),INDEX(展開用!$B$2:$B$601,MATCH(ROW()-1,展開用!$E$2:$E$601,0)),"")</f>
        <v/>
      </c>
      <c r="AX87" s="1"/>
      <c r="AY87" s="1"/>
    </row>
    <row r="88" spans="1:51" ht="24" customHeight="1">
      <c r="A88" s="11"/>
      <c r="B88" s="11"/>
      <c r="C88" s="11"/>
      <c r="D88" s="11"/>
      <c r="E88" s="11"/>
      <c r="F88" s="11"/>
      <c r="G88" s="11"/>
      <c r="H88" s="11" t="str">
        <f>IF(AND(ROW()-1&lt;=教室申込!$K$5,教室申込!$K$7=0,COUNTA(教室申込!$C$4)=1),INDEX(展開用!$C$2:$C$601,MATCH(ROW()-1,展開用!$E$2:$E$601,0)),"")</f>
        <v/>
      </c>
      <c r="I88" s="11" t="str">
        <f>IF(AND(ROW()-1&lt;=教室申込!$K$5,教室申込!$K$7=0,COUNTA(教室申込!$C$4)=1),INDEX(展開用!$D$2:$D$601,MATCH(ROW()-1,展開用!$E$2:$E$601,0)),"")</f>
        <v/>
      </c>
      <c r="J88" s="11"/>
      <c r="K88" s="11"/>
      <c r="L88" s="11" t="str">
        <f>IF(AND(ROW()-1&lt;=教室申込!$K$5,教室申込!$K$7=0,COUNTA(教室申込!$C$4)=1),INDEX(教室申込!$B$1:$B$212,$AW88),"")</f>
        <v/>
      </c>
      <c r="M88" s="11" t="str">
        <f>IF(AND(ROW()-1&lt;=教室申込!$K$5,教室申込!$K$7=0,COUNTA(教室申込!$C$4)=1),INDEX(教室申込!$C$1:$C$212,$AW88),"")</f>
        <v/>
      </c>
      <c r="N88" s="11"/>
      <c r="O88" s="12" t="str">
        <f>IF(AND(ROW()-1&lt;=教室申込!$K$5,教室申込!$K$7=0,COUNTA(教室申込!$C$4)=1),INDEX(展開用!$G$2:$G$601,MATCH(ROW()-1,展開用!$E$2:$E$601,0)),"")</f>
        <v/>
      </c>
      <c r="P88" s="11"/>
      <c r="Q88" s="11"/>
      <c r="R88" s="11"/>
      <c r="S88" s="11"/>
      <c r="T88" s="11"/>
      <c r="U88" s="11" t="str">
        <f>IF(AND(ROW()-1&lt;=教室申込!$K$5,教室申込!$K$7=0,COUNTA(教室申込!$C$4)=1),INDEX(展開用!$F$2:$F$601,MATCH(ROW()-1,展開用!$E$2:$E$601,0)),"")</f>
        <v/>
      </c>
      <c r="V88" s="11"/>
      <c r="W88" s="11"/>
      <c r="X88" s="11"/>
      <c r="Y88" s="11"/>
      <c r="Z88" s="11"/>
      <c r="AA88" s="11" t="str">
        <f>IF($AW88="","",IF(INDEX(教室申込!$J$1:$J$212,$AW88)="","",INDEX(教室申込!$J$1:$J$212,$AW88)))</f>
        <v/>
      </c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" t="str">
        <f>IF(AND(ROW()-1&lt;=教室申込!$K$5,教室申込!$K$7=0,COUNTA(教室申込!$C$4)=1),INDEX(展開用!$B$2:$B$601,MATCH(ROW()-1,展開用!$E$2:$E$601,0)),"")</f>
        <v/>
      </c>
      <c r="AX88" s="1"/>
      <c r="AY88" s="1"/>
    </row>
    <row r="89" spans="1:51" ht="24" customHeight="1">
      <c r="A89" s="11"/>
      <c r="B89" s="11"/>
      <c r="C89" s="11"/>
      <c r="D89" s="11"/>
      <c r="E89" s="11"/>
      <c r="F89" s="11"/>
      <c r="G89" s="11"/>
      <c r="H89" s="11" t="str">
        <f>IF(AND(ROW()-1&lt;=教室申込!$K$5,教室申込!$K$7=0,COUNTA(教室申込!$C$4)=1),INDEX(展開用!$C$2:$C$601,MATCH(ROW()-1,展開用!$E$2:$E$601,0)),"")</f>
        <v/>
      </c>
      <c r="I89" s="11" t="str">
        <f>IF(AND(ROW()-1&lt;=教室申込!$K$5,教室申込!$K$7=0,COUNTA(教室申込!$C$4)=1),INDEX(展開用!$D$2:$D$601,MATCH(ROW()-1,展開用!$E$2:$E$601,0)),"")</f>
        <v/>
      </c>
      <c r="J89" s="11"/>
      <c r="K89" s="11"/>
      <c r="L89" s="11" t="str">
        <f>IF(AND(ROW()-1&lt;=教室申込!$K$5,教室申込!$K$7=0,COUNTA(教室申込!$C$4)=1),INDEX(教室申込!$B$1:$B$212,$AW89),"")</f>
        <v/>
      </c>
      <c r="M89" s="11" t="str">
        <f>IF(AND(ROW()-1&lt;=教室申込!$K$5,教室申込!$K$7=0,COUNTA(教室申込!$C$4)=1),INDEX(教室申込!$C$1:$C$212,$AW89),"")</f>
        <v/>
      </c>
      <c r="N89" s="11"/>
      <c r="O89" s="12" t="str">
        <f>IF(AND(ROW()-1&lt;=教室申込!$K$5,教室申込!$K$7=0,COUNTA(教室申込!$C$4)=1),INDEX(展開用!$G$2:$G$601,MATCH(ROW()-1,展開用!$E$2:$E$601,0)),"")</f>
        <v/>
      </c>
      <c r="P89" s="11"/>
      <c r="Q89" s="11"/>
      <c r="R89" s="11"/>
      <c r="S89" s="11"/>
      <c r="T89" s="11"/>
      <c r="U89" s="11" t="str">
        <f>IF(AND(ROW()-1&lt;=教室申込!$K$5,教室申込!$K$7=0,COUNTA(教室申込!$C$4)=1),INDEX(展開用!$F$2:$F$601,MATCH(ROW()-1,展開用!$E$2:$E$601,0)),"")</f>
        <v/>
      </c>
      <c r="V89" s="11"/>
      <c r="W89" s="11"/>
      <c r="X89" s="11"/>
      <c r="Y89" s="11"/>
      <c r="Z89" s="11"/>
      <c r="AA89" s="11" t="str">
        <f>IF($AW89="","",IF(INDEX(教室申込!$J$1:$J$212,$AW89)="","",INDEX(教室申込!$J$1:$J$212,$AW89)))</f>
        <v/>
      </c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" t="str">
        <f>IF(AND(ROW()-1&lt;=教室申込!$K$5,教室申込!$K$7=0,COUNTA(教室申込!$C$4)=1),INDEX(展開用!$B$2:$B$601,MATCH(ROW()-1,展開用!$E$2:$E$601,0)),"")</f>
        <v/>
      </c>
      <c r="AX89" s="1"/>
      <c r="AY89" s="1"/>
    </row>
    <row r="90" spans="1:51" ht="24" customHeight="1">
      <c r="A90" s="11"/>
      <c r="B90" s="11"/>
      <c r="C90" s="11"/>
      <c r="D90" s="11"/>
      <c r="E90" s="11"/>
      <c r="F90" s="11"/>
      <c r="G90" s="11"/>
      <c r="H90" s="11" t="str">
        <f>IF(AND(ROW()-1&lt;=教室申込!$K$5,教室申込!$K$7=0,COUNTA(教室申込!$C$4)=1),INDEX(展開用!$C$2:$C$601,MATCH(ROW()-1,展開用!$E$2:$E$601,0)),"")</f>
        <v/>
      </c>
      <c r="I90" s="11" t="str">
        <f>IF(AND(ROW()-1&lt;=教室申込!$K$5,教室申込!$K$7=0,COUNTA(教室申込!$C$4)=1),INDEX(展開用!$D$2:$D$601,MATCH(ROW()-1,展開用!$E$2:$E$601,0)),"")</f>
        <v/>
      </c>
      <c r="J90" s="11"/>
      <c r="K90" s="11"/>
      <c r="L90" s="11" t="str">
        <f>IF(AND(ROW()-1&lt;=教室申込!$K$5,教室申込!$K$7=0,COUNTA(教室申込!$C$4)=1),INDEX(教室申込!$B$1:$B$212,$AW90),"")</f>
        <v/>
      </c>
      <c r="M90" s="11" t="str">
        <f>IF(AND(ROW()-1&lt;=教室申込!$K$5,教室申込!$K$7=0,COUNTA(教室申込!$C$4)=1),INDEX(教室申込!$C$1:$C$212,$AW90),"")</f>
        <v/>
      </c>
      <c r="N90" s="11"/>
      <c r="O90" s="12" t="str">
        <f>IF(AND(ROW()-1&lt;=教室申込!$K$5,教室申込!$K$7=0,COUNTA(教室申込!$C$4)=1),INDEX(展開用!$G$2:$G$601,MATCH(ROW()-1,展開用!$E$2:$E$601,0)),"")</f>
        <v/>
      </c>
      <c r="P90" s="11"/>
      <c r="Q90" s="11"/>
      <c r="R90" s="11"/>
      <c r="S90" s="11"/>
      <c r="T90" s="11"/>
      <c r="U90" s="11" t="str">
        <f>IF(AND(ROW()-1&lt;=教室申込!$K$5,教室申込!$K$7=0,COUNTA(教室申込!$C$4)=1),INDEX(展開用!$F$2:$F$601,MATCH(ROW()-1,展開用!$E$2:$E$601,0)),"")</f>
        <v/>
      </c>
      <c r="V90" s="11"/>
      <c r="W90" s="11"/>
      <c r="X90" s="11"/>
      <c r="Y90" s="11"/>
      <c r="Z90" s="11"/>
      <c r="AA90" s="11" t="str">
        <f>IF($AW90="","",IF(INDEX(教室申込!$J$1:$J$212,$AW90)="","",INDEX(教室申込!$J$1:$J$212,$AW90)))</f>
        <v/>
      </c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" t="str">
        <f>IF(AND(ROW()-1&lt;=教室申込!$K$5,教室申込!$K$7=0,COUNTA(教室申込!$C$4)=1),INDEX(展開用!$B$2:$B$601,MATCH(ROW()-1,展開用!$E$2:$E$601,0)),"")</f>
        <v/>
      </c>
      <c r="AX90" s="1"/>
      <c r="AY90" s="1"/>
    </row>
    <row r="91" spans="1:51" ht="24" customHeight="1">
      <c r="A91" s="11"/>
      <c r="B91" s="11"/>
      <c r="C91" s="11"/>
      <c r="D91" s="11"/>
      <c r="E91" s="11"/>
      <c r="F91" s="11"/>
      <c r="G91" s="11"/>
      <c r="H91" s="11" t="str">
        <f>IF(AND(ROW()-1&lt;=教室申込!$K$5,教室申込!$K$7=0,COUNTA(教室申込!$C$4)=1),INDEX(展開用!$C$2:$C$601,MATCH(ROW()-1,展開用!$E$2:$E$601,0)),"")</f>
        <v/>
      </c>
      <c r="I91" s="11" t="str">
        <f>IF(AND(ROW()-1&lt;=教室申込!$K$5,教室申込!$K$7=0,COUNTA(教室申込!$C$4)=1),INDEX(展開用!$D$2:$D$601,MATCH(ROW()-1,展開用!$E$2:$E$601,0)),"")</f>
        <v/>
      </c>
      <c r="J91" s="11"/>
      <c r="K91" s="11"/>
      <c r="L91" s="11" t="str">
        <f>IF(AND(ROW()-1&lt;=教室申込!$K$5,教室申込!$K$7=0,COUNTA(教室申込!$C$4)=1),INDEX(教室申込!$B$1:$B$212,$AW91),"")</f>
        <v/>
      </c>
      <c r="M91" s="11" t="str">
        <f>IF(AND(ROW()-1&lt;=教室申込!$K$5,教室申込!$K$7=0,COUNTA(教室申込!$C$4)=1),INDEX(教室申込!$C$1:$C$212,$AW91),"")</f>
        <v/>
      </c>
      <c r="N91" s="11"/>
      <c r="O91" s="12" t="str">
        <f>IF(AND(ROW()-1&lt;=教室申込!$K$5,教室申込!$K$7=0,COUNTA(教室申込!$C$4)=1),INDEX(展開用!$G$2:$G$601,MATCH(ROW()-1,展開用!$E$2:$E$601,0)),"")</f>
        <v/>
      </c>
      <c r="P91" s="11"/>
      <c r="Q91" s="11"/>
      <c r="R91" s="11"/>
      <c r="S91" s="11"/>
      <c r="T91" s="11"/>
      <c r="U91" s="11" t="str">
        <f>IF(AND(ROW()-1&lt;=教室申込!$K$5,教室申込!$K$7=0,COUNTA(教室申込!$C$4)=1),INDEX(展開用!$F$2:$F$601,MATCH(ROW()-1,展開用!$E$2:$E$601,0)),"")</f>
        <v/>
      </c>
      <c r="V91" s="11"/>
      <c r="W91" s="11"/>
      <c r="X91" s="11"/>
      <c r="Y91" s="11"/>
      <c r="Z91" s="11"/>
      <c r="AA91" s="11" t="str">
        <f>IF($AW91="","",IF(INDEX(教室申込!$J$1:$J$212,$AW91)="","",INDEX(教室申込!$J$1:$J$212,$AW91)))</f>
        <v/>
      </c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" t="str">
        <f>IF(AND(ROW()-1&lt;=教室申込!$K$5,教室申込!$K$7=0,COUNTA(教室申込!$C$4)=1),INDEX(展開用!$B$2:$B$601,MATCH(ROW()-1,展開用!$E$2:$E$601,0)),"")</f>
        <v/>
      </c>
      <c r="AX91" s="1"/>
      <c r="AY91" s="1"/>
    </row>
    <row r="92" spans="1:51" ht="24" customHeight="1">
      <c r="A92" s="11"/>
      <c r="B92" s="11"/>
      <c r="C92" s="11"/>
      <c r="D92" s="11"/>
      <c r="E92" s="11"/>
      <c r="F92" s="11"/>
      <c r="G92" s="11"/>
      <c r="H92" s="11" t="str">
        <f>IF(AND(ROW()-1&lt;=教室申込!$K$5,教室申込!$K$7=0,COUNTA(教室申込!$C$4)=1),INDEX(展開用!$C$2:$C$601,MATCH(ROW()-1,展開用!$E$2:$E$601,0)),"")</f>
        <v/>
      </c>
      <c r="I92" s="11" t="str">
        <f>IF(AND(ROW()-1&lt;=教室申込!$K$5,教室申込!$K$7=0,COUNTA(教室申込!$C$4)=1),INDEX(展開用!$D$2:$D$601,MATCH(ROW()-1,展開用!$E$2:$E$601,0)),"")</f>
        <v/>
      </c>
      <c r="J92" s="11"/>
      <c r="K92" s="11"/>
      <c r="L92" s="11" t="str">
        <f>IF(AND(ROW()-1&lt;=教室申込!$K$5,教室申込!$K$7=0,COUNTA(教室申込!$C$4)=1),INDEX(教室申込!$B$1:$B$212,$AW92),"")</f>
        <v/>
      </c>
      <c r="M92" s="11" t="str">
        <f>IF(AND(ROW()-1&lt;=教室申込!$K$5,教室申込!$K$7=0,COUNTA(教室申込!$C$4)=1),INDEX(教室申込!$C$1:$C$212,$AW92),"")</f>
        <v/>
      </c>
      <c r="N92" s="11"/>
      <c r="O92" s="12" t="str">
        <f>IF(AND(ROW()-1&lt;=教室申込!$K$5,教室申込!$K$7=0,COUNTA(教室申込!$C$4)=1),INDEX(展開用!$G$2:$G$601,MATCH(ROW()-1,展開用!$E$2:$E$601,0)),"")</f>
        <v/>
      </c>
      <c r="P92" s="11"/>
      <c r="Q92" s="11"/>
      <c r="R92" s="11"/>
      <c r="S92" s="11"/>
      <c r="T92" s="11"/>
      <c r="U92" s="11" t="str">
        <f>IF(AND(ROW()-1&lt;=教室申込!$K$5,教室申込!$K$7=0,COUNTA(教室申込!$C$4)=1),INDEX(展開用!$F$2:$F$601,MATCH(ROW()-1,展開用!$E$2:$E$601,0)),"")</f>
        <v/>
      </c>
      <c r="V92" s="11"/>
      <c r="W92" s="11"/>
      <c r="X92" s="11"/>
      <c r="Y92" s="11"/>
      <c r="Z92" s="11"/>
      <c r="AA92" s="11" t="str">
        <f>IF($AW92="","",IF(INDEX(教室申込!$J$1:$J$212,$AW92)="","",INDEX(教室申込!$J$1:$J$212,$AW92)))</f>
        <v/>
      </c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" t="str">
        <f>IF(AND(ROW()-1&lt;=教室申込!$K$5,教室申込!$K$7=0,COUNTA(教室申込!$C$4)=1),INDEX(展開用!$B$2:$B$601,MATCH(ROW()-1,展開用!$E$2:$E$601,0)),"")</f>
        <v/>
      </c>
      <c r="AX92" s="1"/>
      <c r="AY92" s="1"/>
    </row>
    <row r="93" spans="1:51" ht="24" customHeight="1">
      <c r="A93" s="11"/>
      <c r="B93" s="11"/>
      <c r="C93" s="11"/>
      <c r="D93" s="11"/>
      <c r="E93" s="11"/>
      <c r="F93" s="11"/>
      <c r="G93" s="11"/>
      <c r="H93" s="11" t="str">
        <f>IF(AND(ROW()-1&lt;=教室申込!$K$5,教室申込!$K$7=0,COUNTA(教室申込!$C$4)=1),INDEX(展開用!$C$2:$C$601,MATCH(ROW()-1,展開用!$E$2:$E$601,0)),"")</f>
        <v/>
      </c>
      <c r="I93" s="11" t="str">
        <f>IF(AND(ROW()-1&lt;=教室申込!$K$5,教室申込!$K$7=0,COUNTA(教室申込!$C$4)=1),INDEX(展開用!$D$2:$D$601,MATCH(ROW()-1,展開用!$E$2:$E$601,0)),"")</f>
        <v/>
      </c>
      <c r="J93" s="11"/>
      <c r="K93" s="11"/>
      <c r="L93" s="11" t="str">
        <f>IF(AND(ROW()-1&lt;=教室申込!$K$5,教室申込!$K$7=0,COUNTA(教室申込!$C$4)=1),INDEX(教室申込!$B$1:$B$212,$AW93),"")</f>
        <v/>
      </c>
      <c r="M93" s="11" t="str">
        <f>IF(AND(ROW()-1&lt;=教室申込!$K$5,教室申込!$K$7=0,COUNTA(教室申込!$C$4)=1),INDEX(教室申込!$C$1:$C$212,$AW93),"")</f>
        <v/>
      </c>
      <c r="N93" s="11"/>
      <c r="O93" s="12" t="str">
        <f>IF(AND(ROW()-1&lt;=教室申込!$K$5,教室申込!$K$7=0,COUNTA(教室申込!$C$4)=1),INDEX(展開用!$G$2:$G$601,MATCH(ROW()-1,展開用!$E$2:$E$601,0)),"")</f>
        <v/>
      </c>
      <c r="P93" s="11"/>
      <c r="Q93" s="11"/>
      <c r="R93" s="11"/>
      <c r="S93" s="11"/>
      <c r="T93" s="11"/>
      <c r="U93" s="11" t="str">
        <f>IF(AND(ROW()-1&lt;=教室申込!$K$5,教室申込!$K$7=0,COUNTA(教室申込!$C$4)=1),INDEX(展開用!$F$2:$F$601,MATCH(ROW()-1,展開用!$E$2:$E$601,0)),"")</f>
        <v/>
      </c>
      <c r="V93" s="11"/>
      <c r="W93" s="11"/>
      <c r="X93" s="11"/>
      <c r="Y93" s="11"/>
      <c r="Z93" s="11"/>
      <c r="AA93" s="11" t="str">
        <f>IF($AW93="","",IF(INDEX(教室申込!$J$1:$J$212,$AW93)="","",INDEX(教室申込!$J$1:$J$212,$AW93)))</f>
        <v/>
      </c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" t="str">
        <f>IF(AND(ROW()-1&lt;=教室申込!$K$5,教室申込!$K$7=0,COUNTA(教室申込!$C$4)=1),INDEX(展開用!$B$2:$B$601,MATCH(ROW()-1,展開用!$E$2:$E$601,0)),"")</f>
        <v/>
      </c>
      <c r="AX93" s="1"/>
      <c r="AY93" s="1"/>
    </row>
    <row r="94" spans="1:51" ht="24" customHeight="1">
      <c r="A94" s="11"/>
      <c r="B94" s="11"/>
      <c r="C94" s="11"/>
      <c r="D94" s="11"/>
      <c r="E94" s="11"/>
      <c r="F94" s="11"/>
      <c r="G94" s="11"/>
      <c r="H94" s="11" t="str">
        <f>IF(AND(ROW()-1&lt;=教室申込!$K$5,教室申込!$K$7=0,COUNTA(教室申込!$C$4)=1),INDEX(展開用!$C$2:$C$601,MATCH(ROW()-1,展開用!$E$2:$E$601,0)),"")</f>
        <v/>
      </c>
      <c r="I94" s="11" t="str">
        <f>IF(AND(ROW()-1&lt;=教室申込!$K$5,教室申込!$K$7=0,COUNTA(教室申込!$C$4)=1),INDEX(展開用!$D$2:$D$601,MATCH(ROW()-1,展開用!$E$2:$E$601,0)),"")</f>
        <v/>
      </c>
      <c r="J94" s="11"/>
      <c r="K94" s="11"/>
      <c r="L94" s="11" t="str">
        <f>IF(AND(ROW()-1&lt;=教室申込!$K$5,教室申込!$K$7=0,COUNTA(教室申込!$C$4)=1),INDEX(教室申込!$B$1:$B$212,$AW94),"")</f>
        <v/>
      </c>
      <c r="M94" s="11" t="str">
        <f>IF(AND(ROW()-1&lt;=教室申込!$K$5,教室申込!$K$7=0,COUNTA(教室申込!$C$4)=1),INDEX(教室申込!$C$1:$C$212,$AW94),"")</f>
        <v/>
      </c>
      <c r="N94" s="11"/>
      <c r="O94" s="12" t="str">
        <f>IF(AND(ROW()-1&lt;=教室申込!$K$5,教室申込!$K$7=0,COUNTA(教室申込!$C$4)=1),INDEX(展開用!$G$2:$G$601,MATCH(ROW()-1,展開用!$E$2:$E$601,0)),"")</f>
        <v/>
      </c>
      <c r="P94" s="11"/>
      <c r="Q94" s="11"/>
      <c r="R94" s="11"/>
      <c r="S94" s="11"/>
      <c r="T94" s="11"/>
      <c r="U94" s="11" t="str">
        <f>IF(AND(ROW()-1&lt;=教室申込!$K$5,教室申込!$K$7=0,COUNTA(教室申込!$C$4)=1),INDEX(展開用!$F$2:$F$601,MATCH(ROW()-1,展開用!$E$2:$E$601,0)),"")</f>
        <v/>
      </c>
      <c r="V94" s="11"/>
      <c r="W94" s="11"/>
      <c r="X94" s="11"/>
      <c r="Y94" s="11"/>
      <c r="Z94" s="11"/>
      <c r="AA94" s="11" t="str">
        <f>IF($AW94="","",IF(INDEX(教室申込!$J$1:$J$212,$AW94)="","",INDEX(教室申込!$J$1:$J$212,$AW94)))</f>
        <v/>
      </c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" t="str">
        <f>IF(AND(ROW()-1&lt;=教室申込!$K$5,教室申込!$K$7=0,COUNTA(教室申込!$C$4)=1),INDEX(展開用!$B$2:$B$601,MATCH(ROW()-1,展開用!$E$2:$E$601,0)),"")</f>
        <v/>
      </c>
      <c r="AX94" s="1"/>
      <c r="AY94" s="1"/>
    </row>
    <row r="95" spans="1:51" ht="24" customHeight="1">
      <c r="A95" s="11"/>
      <c r="B95" s="11"/>
      <c r="C95" s="11"/>
      <c r="D95" s="11"/>
      <c r="E95" s="11"/>
      <c r="F95" s="11"/>
      <c r="G95" s="11"/>
      <c r="H95" s="11" t="str">
        <f>IF(AND(ROW()-1&lt;=教室申込!$K$5,教室申込!$K$7=0,COUNTA(教室申込!$C$4)=1),INDEX(展開用!$C$2:$C$601,MATCH(ROW()-1,展開用!$E$2:$E$601,0)),"")</f>
        <v/>
      </c>
      <c r="I95" s="11" t="str">
        <f>IF(AND(ROW()-1&lt;=教室申込!$K$5,教室申込!$K$7=0,COUNTA(教室申込!$C$4)=1),INDEX(展開用!$D$2:$D$601,MATCH(ROW()-1,展開用!$E$2:$E$601,0)),"")</f>
        <v/>
      </c>
      <c r="J95" s="11"/>
      <c r="K95" s="11"/>
      <c r="L95" s="11" t="str">
        <f>IF(AND(ROW()-1&lt;=教室申込!$K$5,教室申込!$K$7=0,COUNTA(教室申込!$C$4)=1),INDEX(教室申込!$B$1:$B$212,$AW95),"")</f>
        <v/>
      </c>
      <c r="M95" s="11" t="str">
        <f>IF(AND(ROW()-1&lt;=教室申込!$K$5,教室申込!$K$7=0,COUNTA(教室申込!$C$4)=1),INDEX(教室申込!$C$1:$C$212,$AW95),"")</f>
        <v/>
      </c>
      <c r="N95" s="11"/>
      <c r="O95" s="12" t="str">
        <f>IF(AND(ROW()-1&lt;=教室申込!$K$5,教室申込!$K$7=0,COUNTA(教室申込!$C$4)=1),INDEX(展開用!$G$2:$G$601,MATCH(ROW()-1,展開用!$E$2:$E$601,0)),"")</f>
        <v/>
      </c>
      <c r="P95" s="11"/>
      <c r="Q95" s="11"/>
      <c r="R95" s="11"/>
      <c r="S95" s="11"/>
      <c r="T95" s="11"/>
      <c r="U95" s="11" t="str">
        <f>IF(AND(ROW()-1&lt;=教室申込!$K$5,教室申込!$K$7=0,COUNTA(教室申込!$C$4)=1),INDEX(展開用!$F$2:$F$601,MATCH(ROW()-1,展開用!$E$2:$E$601,0)),"")</f>
        <v/>
      </c>
      <c r="V95" s="11"/>
      <c r="W95" s="11"/>
      <c r="X95" s="11"/>
      <c r="Y95" s="11"/>
      <c r="Z95" s="11"/>
      <c r="AA95" s="11" t="str">
        <f>IF($AW95="","",IF(INDEX(教室申込!$J$1:$J$212,$AW95)="","",INDEX(教室申込!$J$1:$J$212,$AW95)))</f>
        <v/>
      </c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" t="str">
        <f>IF(AND(ROW()-1&lt;=教室申込!$K$5,教室申込!$K$7=0,COUNTA(教室申込!$C$4)=1),INDEX(展開用!$B$2:$B$601,MATCH(ROW()-1,展開用!$E$2:$E$601,0)),"")</f>
        <v/>
      </c>
      <c r="AX95" s="1"/>
      <c r="AY95" s="1"/>
    </row>
    <row r="96" spans="1:51" ht="24" customHeight="1">
      <c r="A96" s="11"/>
      <c r="B96" s="11"/>
      <c r="C96" s="11"/>
      <c r="D96" s="11"/>
      <c r="E96" s="11"/>
      <c r="F96" s="11"/>
      <c r="G96" s="11"/>
      <c r="H96" s="11" t="str">
        <f>IF(AND(ROW()-1&lt;=教室申込!$K$5,教室申込!$K$7=0,COUNTA(教室申込!$C$4)=1),INDEX(展開用!$C$2:$C$601,MATCH(ROW()-1,展開用!$E$2:$E$601,0)),"")</f>
        <v/>
      </c>
      <c r="I96" s="11" t="str">
        <f>IF(AND(ROW()-1&lt;=教室申込!$K$5,教室申込!$K$7=0,COUNTA(教室申込!$C$4)=1),INDEX(展開用!$D$2:$D$601,MATCH(ROW()-1,展開用!$E$2:$E$601,0)),"")</f>
        <v/>
      </c>
      <c r="J96" s="11"/>
      <c r="K96" s="11"/>
      <c r="L96" s="11" t="str">
        <f>IF(AND(ROW()-1&lt;=教室申込!$K$5,教室申込!$K$7=0,COUNTA(教室申込!$C$4)=1),INDEX(教室申込!$B$1:$B$212,$AW96),"")</f>
        <v/>
      </c>
      <c r="M96" s="11" t="str">
        <f>IF(AND(ROW()-1&lt;=教室申込!$K$5,教室申込!$K$7=0,COUNTA(教室申込!$C$4)=1),INDEX(教室申込!$C$1:$C$212,$AW96),"")</f>
        <v/>
      </c>
      <c r="N96" s="11"/>
      <c r="O96" s="12" t="str">
        <f>IF(AND(ROW()-1&lt;=教室申込!$K$5,教室申込!$K$7=0,COUNTA(教室申込!$C$4)=1),INDEX(展開用!$G$2:$G$601,MATCH(ROW()-1,展開用!$E$2:$E$601,0)),"")</f>
        <v/>
      </c>
      <c r="P96" s="11"/>
      <c r="Q96" s="11"/>
      <c r="R96" s="11"/>
      <c r="S96" s="11"/>
      <c r="T96" s="11"/>
      <c r="U96" s="11" t="str">
        <f>IF(AND(ROW()-1&lt;=教室申込!$K$5,教室申込!$K$7=0,COUNTA(教室申込!$C$4)=1),INDEX(展開用!$F$2:$F$601,MATCH(ROW()-1,展開用!$E$2:$E$601,0)),"")</f>
        <v/>
      </c>
      <c r="V96" s="11"/>
      <c r="W96" s="11"/>
      <c r="X96" s="11"/>
      <c r="Y96" s="11"/>
      <c r="Z96" s="11"/>
      <c r="AA96" s="11" t="str">
        <f>IF($AW96="","",IF(INDEX(教室申込!$J$1:$J$212,$AW96)="","",INDEX(教室申込!$J$1:$J$212,$AW96)))</f>
        <v/>
      </c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" t="str">
        <f>IF(AND(ROW()-1&lt;=教室申込!$K$5,教室申込!$K$7=0,COUNTA(教室申込!$C$4)=1),INDEX(展開用!$B$2:$B$601,MATCH(ROW()-1,展開用!$E$2:$E$601,0)),"")</f>
        <v/>
      </c>
      <c r="AX96" s="1"/>
      <c r="AY96" s="1"/>
    </row>
    <row r="97" spans="1:51" ht="24" customHeight="1">
      <c r="A97" s="11"/>
      <c r="B97" s="11"/>
      <c r="C97" s="11"/>
      <c r="D97" s="11"/>
      <c r="E97" s="11"/>
      <c r="F97" s="11"/>
      <c r="G97" s="11"/>
      <c r="H97" s="11" t="str">
        <f>IF(AND(ROW()-1&lt;=教室申込!$K$5,教室申込!$K$7=0,COUNTA(教室申込!$C$4)=1),INDEX(展開用!$C$2:$C$601,MATCH(ROW()-1,展開用!$E$2:$E$601,0)),"")</f>
        <v/>
      </c>
      <c r="I97" s="11" t="str">
        <f>IF(AND(ROW()-1&lt;=教室申込!$K$5,教室申込!$K$7=0,COUNTA(教室申込!$C$4)=1),INDEX(展開用!$D$2:$D$601,MATCH(ROW()-1,展開用!$E$2:$E$601,0)),"")</f>
        <v/>
      </c>
      <c r="J97" s="11"/>
      <c r="K97" s="11"/>
      <c r="L97" s="11" t="str">
        <f>IF(AND(ROW()-1&lt;=教室申込!$K$5,教室申込!$K$7=0,COUNTA(教室申込!$C$4)=1),INDEX(教室申込!$B$1:$B$212,$AW97),"")</f>
        <v/>
      </c>
      <c r="M97" s="11" t="str">
        <f>IF(AND(ROW()-1&lt;=教室申込!$K$5,教室申込!$K$7=0,COUNTA(教室申込!$C$4)=1),INDEX(教室申込!$C$1:$C$212,$AW97),"")</f>
        <v/>
      </c>
      <c r="N97" s="11"/>
      <c r="O97" s="12" t="str">
        <f>IF(AND(ROW()-1&lt;=教室申込!$K$5,教室申込!$K$7=0,COUNTA(教室申込!$C$4)=1),INDEX(展開用!$G$2:$G$601,MATCH(ROW()-1,展開用!$E$2:$E$601,0)),"")</f>
        <v/>
      </c>
      <c r="P97" s="11"/>
      <c r="Q97" s="11"/>
      <c r="R97" s="11"/>
      <c r="S97" s="11"/>
      <c r="T97" s="11"/>
      <c r="U97" s="11" t="str">
        <f>IF(AND(ROW()-1&lt;=教室申込!$K$5,教室申込!$K$7=0,COUNTA(教室申込!$C$4)=1),INDEX(展開用!$F$2:$F$601,MATCH(ROW()-1,展開用!$E$2:$E$601,0)),"")</f>
        <v/>
      </c>
      <c r="V97" s="11"/>
      <c r="W97" s="11"/>
      <c r="X97" s="11"/>
      <c r="Y97" s="11"/>
      <c r="Z97" s="11"/>
      <c r="AA97" s="11" t="str">
        <f>IF($AW97="","",IF(INDEX(教室申込!$J$1:$J$212,$AW97)="","",INDEX(教室申込!$J$1:$J$212,$AW97)))</f>
        <v/>
      </c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" t="str">
        <f>IF(AND(ROW()-1&lt;=教室申込!$K$5,教室申込!$K$7=0,COUNTA(教室申込!$C$4)=1),INDEX(展開用!$B$2:$B$601,MATCH(ROW()-1,展開用!$E$2:$E$601,0)),"")</f>
        <v/>
      </c>
      <c r="AX97" s="1"/>
      <c r="AY97" s="1"/>
    </row>
    <row r="98" spans="1:51" ht="24" customHeight="1">
      <c r="A98" s="11"/>
      <c r="B98" s="11"/>
      <c r="C98" s="11"/>
      <c r="D98" s="11"/>
      <c r="E98" s="11"/>
      <c r="F98" s="11"/>
      <c r="G98" s="11"/>
      <c r="H98" s="11" t="str">
        <f>IF(AND(ROW()-1&lt;=教室申込!$K$5,教室申込!$K$7=0,COUNTA(教室申込!$C$4)=1),INDEX(展開用!$C$2:$C$601,MATCH(ROW()-1,展開用!$E$2:$E$601,0)),"")</f>
        <v/>
      </c>
      <c r="I98" s="11" t="str">
        <f>IF(AND(ROW()-1&lt;=教室申込!$K$5,教室申込!$K$7=0,COUNTA(教室申込!$C$4)=1),INDEX(展開用!$D$2:$D$601,MATCH(ROW()-1,展開用!$E$2:$E$601,0)),"")</f>
        <v/>
      </c>
      <c r="J98" s="11"/>
      <c r="K98" s="11"/>
      <c r="L98" s="11" t="str">
        <f>IF(AND(ROW()-1&lt;=教室申込!$K$5,教室申込!$K$7=0,COUNTA(教室申込!$C$4)=1),INDEX(教室申込!$B$1:$B$212,$AW98),"")</f>
        <v/>
      </c>
      <c r="M98" s="11" t="str">
        <f>IF(AND(ROW()-1&lt;=教室申込!$K$5,教室申込!$K$7=0,COUNTA(教室申込!$C$4)=1),INDEX(教室申込!$C$1:$C$212,$AW98),"")</f>
        <v/>
      </c>
      <c r="N98" s="11"/>
      <c r="O98" s="12" t="str">
        <f>IF(AND(ROW()-1&lt;=教室申込!$K$5,教室申込!$K$7=0,COUNTA(教室申込!$C$4)=1),INDEX(展開用!$G$2:$G$601,MATCH(ROW()-1,展開用!$E$2:$E$601,0)),"")</f>
        <v/>
      </c>
      <c r="P98" s="11"/>
      <c r="Q98" s="11"/>
      <c r="R98" s="11"/>
      <c r="S98" s="11"/>
      <c r="T98" s="11"/>
      <c r="U98" s="11" t="str">
        <f>IF(AND(ROW()-1&lt;=教室申込!$K$5,教室申込!$K$7=0,COUNTA(教室申込!$C$4)=1),INDEX(展開用!$F$2:$F$601,MATCH(ROW()-1,展開用!$E$2:$E$601,0)),"")</f>
        <v/>
      </c>
      <c r="V98" s="11"/>
      <c r="W98" s="11"/>
      <c r="X98" s="11"/>
      <c r="Y98" s="11"/>
      <c r="Z98" s="11"/>
      <c r="AA98" s="11" t="str">
        <f>IF($AW98="","",IF(INDEX(教室申込!$J$1:$J$212,$AW98)="","",INDEX(教室申込!$J$1:$J$212,$AW98)))</f>
        <v/>
      </c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" t="str">
        <f>IF(AND(ROW()-1&lt;=教室申込!$K$5,教室申込!$K$7=0,COUNTA(教室申込!$C$4)=1),INDEX(展開用!$B$2:$B$601,MATCH(ROW()-1,展開用!$E$2:$E$601,0)),"")</f>
        <v/>
      </c>
      <c r="AX98" s="1"/>
      <c r="AY98" s="1"/>
    </row>
    <row r="99" spans="1:51" ht="24" customHeight="1">
      <c r="A99" s="11"/>
      <c r="B99" s="11"/>
      <c r="C99" s="11"/>
      <c r="D99" s="11"/>
      <c r="E99" s="11"/>
      <c r="F99" s="11"/>
      <c r="G99" s="11"/>
      <c r="H99" s="11" t="str">
        <f>IF(AND(ROW()-1&lt;=教室申込!$K$5,教室申込!$K$7=0,COUNTA(教室申込!$C$4)=1),INDEX(展開用!$C$2:$C$601,MATCH(ROW()-1,展開用!$E$2:$E$601,0)),"")</f>
        <v/>
      </c>
      <c r="I99" s="11" t="str">
        <f>IF(AND(ROW()-1&lt;=教室申込!$K$5,教室申込!$K$7=0,COUNTA(教室申込!$C$4)=1),INDEX(展開用!$D$2:$D$601,MATCH(ROW()-1,展開用!$E$2:$E$601,0)),"")</f>
        <v/>
      </c>
      <c r="J99" s="11"/>
      <c r="K99" s="11"/>
      <c r="L99" s="11" t="str">
        <f>IF(AND(ROW()-1&lt;=教室申込!$K$5,教室申込!$K$7=0,COUNTA(教室申込!$C$4)=1),INDEX(教室申込!$B$1:$B$212,$AW99),"")</f>
        <v/>
      </c>
      <c r="M99" s="11" t="str">
        <f>IF(AND(ROW()-1&lt;=教室申込!$K$5,教室申込!$K$7=0,COUNTA(教室申込!$C$4)=1),INDEX(教室申込!$C$1:$C$212,$AW99),"")</f>
        <v/>
      </c>
      <c r="N99" s="11"/>
      <c r="O99" s="12" t="str">
        <f>IF(AND(ROW()-1&lt;=教室申込!$K$5,教室申込!$K$7=0,COUNTA(教室申込!$C$4)=1),INDEX(展開用!$G$2:$G$601,MATCH(ROW()-1,展開用!$E$2:$E$601,0)),"")</f>
        <v/>
      </c>
      <c r="P99" s="11"/>
      <c r="Q99" s="11"/>
      <c r="R99" s="11"/>
      <c r="S99" s="11"/>
      <c r="T99" s="11"/>
      <c r="U99" s="11" t="str">
        <f>IF(AND(ROW()-1&lt;=教室申込!$K$5,教室申込!$K$7=0,COUNTA(教室申込!$C$4)=1),INDEX(展開用!$F$2:$F$601,MATCH(ROW()-1,展開用!$E$2:$E$601,0)),"")</f>
        <v/>
      </c>
      <c r="V99" s="11"/>
      <c r="W99" s="11"/>
      <c r="X99" s="11"/>
      <c r="Y99" s="11"/>
      <c r="Z99" s="11"/>
      <c r="AA99" s="11" t="str">
        <f>IF($AW99="","",IF(INDEX(教室申込!$J$1:$J$212,$AW99)="","",INDEX(教室申込!$J$1:$J$212,$AW99)))</f>
        <v/>
      </c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" t="str">
        <f>IF(AND(ROW()-1&lt;=教室申込!$K$5,教室申込!$K$7=0,COUNTA(教室申込!$C$4)=1),INDEX(展開用!$B$2:$B$601,MATCH(ROW()-1,展開用!$E$2:$E$601,0)),"")</f>
        <v/>
      </c>
      <c r="AX99" s="1"/>
      <c r="AY99" s="1"/>
    </row>
    <row r="100" spans="1:51" ht="24" customHeight="1">
      <c r="A100" s="11"/>
      <c r="B100" s="11"/>
      <c r="C100" s="11"/>
      <c r="D100" s="11"/>
      <c r="E100" s="11"/>
      <c r="F100" s="11"/>
      <c r="G100" s="11"/>
      <c r="H100" s="11" t="str">
        <f>IF(AND(ROW()-1&lt;=教室申込!$K$5,教室申込!$K$7=0,COUNTA(教室申込!$C$4)=1),INDEX(展開用!$C$2:$C$601,MATCH(ROW()-1,展開用!$E$2:$E$601,0)),"")</f>
        <v/>
      </c>
      <c r="I100" s="11" t="str">
        <f>IF(AND(ROW()-1&lt;=教室申込!$K$5,教室申込!$K$7=0,COUNTA(教室申込!$C$4)=1),INDEX(展開用!$D$2:$D$601,MATCH(ROW()-1,展開用!$E$2:$E$601,0)),"")</f>
        <v/>
      </c>
      <c r="J100" s="11"/>
      <c r="K100" s="11"/>
      <c r="L100" s="11" t="str">
        <f>IF(AND(ROW()-1&lt;=教室申込!$K$5,教室申込!$K$7=0,COUNTA(教室申込!$C$4)=1),INDEX(教室申込!$B$1:$B$212,$AW100),"")</f>
        <v/>
      </c>
      <c r="M100" s="11" t="str">
        <f>IF(AND(ROW()-1&lt;=教室申込!$K$5,教室申込!$K$7=0,COUNTA(教室申込!$C$4)=1),INDEX(教室申込!$C$1:$C$212,$AW100),"")</f>
        <v/>
      </c>
      <c r="N100" s="11"/>
      <c r="O100" s="12" t="str">
        <f>IF(AND(ROW()-1&lt;=教室申込!$K$5,教室申込!$K$7=0,COUNTA(教室申込!$C$4)=1),INDEX(展開用!$G$2:$G$601,MATCH(ROW()-1,展開用!$E$2:$E$601,0)),"")</f>
        <v/>
      </c>
      <c r="P100" s="11"/>
      <c r="Q100" s="11"/>
      <c r="R100" s="11"/>
      <c r="S100" s="11"/>
      <c r="T100" s="11"/>
      <c r="U100" s="11" t="str">
        <f>IF(AND(ROW()-1&lt;=教室申込!$K$5,教室申込!$K$7=0,COUNTA(教室申込!$C$4)=1),INDEX(展開用!$F$2:$F$601,MATCH(ROW()-1,展開用!$E$2:$E$601,0)),"")</f>
        <v/>
      </c>
      <c r="V100" s="11"/>
      <c r="W100" s="11"/>
      <c r="X100" s="11"/>
      <c r="Y100" s="11"/>
      <c r="Z100" s="11"/>
      <c r="AA100" s="11" t="str">
        <f>IF($AW100="","",IF(INDEX(教室申込!$J$1:$J$212,$AW100)="","",INDEX(教室申込!$J$1:$J$212,$AW100)))</f>
        <v/>
      </c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" t="str">
        <f>IF(AND(ROW()-1&lt;=教室申込!$K$5,教室申込!$K$7=0,COUNTA(教室申込!$C$4)=1),INDEX(展開用!$B$2:$B$601,MATCH(ROW()-1,展開用!$E$2:$E$601,0)),"")</f>
        <v/>
      </c>
      <c r="AX100" s="1"/>
      <c r="AY100" s="1"/>
    </row>
    <row r="101" spans="1:51" ht="24" customHeight="1">
      <c r="A101" s="11"/>
      <c r="B101" s="11"/>
      <c r="C101" s="11"/>
      <c r="D101" s="11"/>
      <c r="E101" s="11"/>
      <c r="F101" s="11"/>
      <c r="G101" s="11"/>
      <c r="H101" s="11" t="str">
        <f>IF(AND(ROW()-1&lt;=教室申込!$K$5,教室申込!$K$7=0,COUNTA(教室申込!$C$4)=1),INDEX(展開用!$C$2:$C$601,MATCH(ROW()-1,展開用!$E$2:$E$601,0)),"")</f>
        <v/>
      </c>
      <c r="I101" s="11" t="str">
        <f>IF(AND(ROW()-1&lt;=教室申込!$K$5,教室申込!$K$7=0,COUNTA(教室申込!$C$4)=1),INDEX(展開用!$D$2:$D$601,MATCH(ROW()-1,展開用!$E$2:$E$601,0)),"")</f>
        <v/>
      </c>
      <c r="J101" s="11"/>
      <c r="K101" s="11"/>
      <c r="L101" s="11" t="str">
        <f>IF(AND(ROW()-1&lt;=教室申込!$K$5,教室申込!$K$7=0,COUNTA(教室申込!$C$4)=1),INDEX(教室申込!$B$1:$B$212,$AW101),"")</f>
        <v/>
      </c>
      <c r="M101" s="11" t="str">
        <f>IF(AND(ROW()-1&lt;=教室申込!$K$5,教室申込!$K$7=0,COUNTA(教室申込!$C$4)=1),INDEX(教室申込!$C$1:$C$212,$AW101),"")</f>
        <v/>
      </c>
      <c r="N101" s="11"/>
      <c r="O101" s="12" t="str">
        <f>IF(AND(ROW()-1&lt;=教室申込!$K$5,教室申込!$K$7=0,COUNTA(教室申込!$C$4)=1),INDEX(展開用!$G$2:$G$601,MATCH(ROW()-1,展開用!$E$2:$E$601,0)),"")</f>
        <v/>
      </c>
      <c r="P101" s="11"/>
      <c r="Q101" s="11"/>
      <c r="R101" s="11"/>
      <c r="S101" s="11"/>
      <c r="T101" s="11"/>
      <c r="U101" s="11" t="str">
        <f>IF(AND(ROW()-1&lt;=教室申込!$K$5,教室申込!$K$7=0,COUNTA(教室申込!$C$4)=1),INDEX(展開用!$F$2:$F$601,MATCH(ROW()-1,展開用!$E$2:$E$601,0)),"")</f>
        <v/>
      </c>
      <c r="V101" s="11"/>
      <c r="W101" s="11"/>
      <c r="X101" s="11"/>
      <c r="Y101" s="11"/>
      <c r="Z101" s="11"/>
      <c r="AA101" s="11" t="str">
        <f>IF($AW101="","",IF(INDEX(教室申込!$J$1:$J$212,$AW101)="","",INDEX(教室申込!$J$1:$J$212,$AW101)))</f>
        <v/>
      </c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" t="str">
        <f>IF(AND(ROW()-1&lt;=教室申込!$K$5,教室申込!$K$7=0,COUNTA(教室申込!$C$4)=1),INDEX(展開用!$B$2:$B$601,MATCH(ROW()-1,展開用!$E$2:$E$601,0)),"")</f>
        <v/>
      </c>
      <c r="AX101" s="1"/>
      <c r="AY101" s="1"/>
    </row>
    <row r="102" spans="1:51" ht="24" customHeight="1">
      <c r="A102" s="11"/>
      <c r="B102" s="11"/>
      <c r="C102" s="11"/>
      <c r="D102" s="11"/>
      <c r="E102" s="11"/>
      <c r="F102" s="11"/>
      <c r="G102" s="11"/>
      <c r="H102" s="11" t="str">
        <f>IF(AND(ROW()-1&lt;=教室申込!$K$5,教室申込!$K$7=0,COUNTA(教室申込!$C$4)=1),INDEX(展開用!$C$2:$C$601,MATCH(ROW()-1,展開用!$E$2:$E$601,0)),"")</f>
        <v/>
      </c>
      <c r="I102" s="11" t="str">
        <f>IF(AND(ROW()-1&lt;=教室申込!$K$5,教室申込!$K$7=0,COUNTA(教室申込!$C$4)=1),INDEX(展開用!$D$2:$D$601,MATCH(ROW()-1,展開用!$E$2:$E$601,0)),"")</f>
        <v/>
      </c>
      <c r="J102" s="11"/>
      <c r="K102" s="11"/>
      <c r="L102" s="11" t="str">
        <f>IF(AND(ROW()-1&lt;=教室申込!$K$5,教室申込!$K$7=0,COUNTA(教室申込!$C$4)=1),INDEX(教室申込!$B$1:$B$212,$AW102),"")</f>
        <v/>
      </c>
      <c r="M102" s="11" t="str">
        <f>IF(AND(ROW()-1&lt;=教室申込!$K$5,教室申込!$K$7=0,COUNTA(教室申込!$C$4)=1),INDEX(教室申込!$C$1:$C$212,$AW102),"")</f>
        <v/>
      </c>
      <c r="N102" s="11"/>
      <c r="O102" s="12" t="str">
        <f>IF(AND(ROW()-1&lt;=教室申込!$K$5,教室申込!$K$7=0,COUNTA(教室申込!$C$4)=1),INDEX(展開用!$G$2:$G$601,MATCH(ROW()-1,展開用!$E$2:$E$601,0)),"")</f>
        <v/>
      </c>
      <c r="P102" s="11"/>
      <c r="Q102" s="11"/>
      <c r="R102" s="11"/>
      <c r="S102" s="11"/>
      <c r="T102" s="11"/>
      <c r="U102" s="11" t="str">
        <f>IF(AND(ROW()-1&lt;=教室申込!$K$5,教室申込!$K$7=0,COUNTA(教室申込!$C$4)=1),INDEX(展開用!$F$2:$F$601,MATCH(ROW()-1,展開用!$E$2:$E$601,0)),"")</f>
        <v/>
      </c>
      <c r="V102" s="11"/>
      <c r="W102" s="11"/>
      <c r="X102" s="11"/>
      <c r="Y102" s="11"/>
      <c r="Z102" s="11"/>
      <c r="AA102" s="11" t="str">
        <f>IF($AW102="","",IF(INDEX(教室申込!$J$1:$J$212,$AW102)="","",INDEX(教室申込!$J$1:$J$212,$AW102)))</f>
        <v/>
      </c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" t="str">
        <f>IF(AND(ROW()-1&lt;=教室申込!$K$5,教室申込!$K$7=0,COUNTA(教室申込!$C$4)=1),INDEX(展開用!$B$2:$B$601,MATCH(ROW()-1,展開用!$E$2:$E$601,0)),"")</f>
        <v/>
      </c>
      <c r="AX102" s="1"/>
      <c r="AY102" s="1"/>
    </row>
    <row r="103" spans="1:51" ht="24" customHeight="1">
      <c r="A103" s="11"/>
      <c r="B103" s="11"/>
      <c r="C103" s="11"/>
      <c r="D103" s="11"/>
      <c r="E103" s="11"/>
      <c r="F103" s="11"/>
      <c r="G103" s="11"/>
      <c r="H103" s="11" t="str">
        <f>IF(AND(ROW()-1&lt;=教室申込!$K$5,教室申込!$K$7=0,COUNTA(教室申込!$C$4)=1),INDEX(展開用!$C$2:$C$601,MATCH(ROW()-1,展開用!$E$2:$E$601,0)),"")</f>
        <v/>
      </c>
      <c r="I103" s="11" t="str">
        <f>IF(AND(ROW()-1&lt;=教室申込!$K$5,教室申込!$K$7=0,COUNTA(教室申込!$C$4)=1),INDEX(展開用!$D$2:$D$601,MATCH(ROW()-1,展開用!$E$2:$E$601,0)),"")</f>
        <v/>
      </c>
      <c r="J103" s="11"/>
      <c r="K103" s="11"/>
      <c r="L103" s="11" t="str">
        <f>IF(AND(ROW()-1&lt;=教室申込!$K$5,教室申込!$K$7=0,COUNTA(教室申込!$C$4)=1),INDEX(教室申込!$B$1:$B$212,$AW103),"")</f>
        <v/>
      </c>
      <c r="M103" s="11" t="str">
        <f>IF(AND(ROW()-1&lt;=教室申込!$K$5,教室申込!$K$7=0,COUNTA(教室申込!$C$4)=1),INDEX(教室申込!$C$1:$C$212,$AW103),"")</f>
        <v/>
      </c>
      <c r="N103" s="11"/>
      <c r="O103" s="12" t="str">
        <f>IF(AND(ROW()-1&lt;=教室申込!$K$5,教室申込!$K$7=0,COUNTA(教室申込!$C$4)=1),INDEX(展開用!$G$2:$G$601,MATCH(ROW()-1,展開用!$E$2:$E$601,0)),"")</f>
        <v/>
      </c>
      <c r="P103" s="11"/>
      <c r="Q103" s="11"/>
      <c r="R103" s="11"/>
      <c r="S103" s="11"/>
      <c r="T103" s="11"/>
      <c r="U103" s="11" t="str">
        <f>IF(AND(ROW()-1&lt;=教室申込!$K$5,教室申込!$K$7=0,COUNTA(教室申込!$C$4)=1),INDEX(展開用!$F$2:$F$601,MATCH(ROW()-1,展開用!$E$2:$E$601,0)),"")</f>
        <v/>
      </c>
      <c r="V103" s="11"/>
      <c r="W103" s="11"/>
      <c r="X103" s="11"/>
      <c r="Y103" s="11"/>
      <c r="Z103" s="11"/>
      <c r="AA103" s="11" t="str">
        <f>IF($AW103="","",IF(INDEX(教室申込!$J$1:$J$212,$AW103)="","",INDEX(教室申込!$J$1:$J$212,$AW103)))</f>
        <v/>
      </c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" t="str">
        <f>IF(AND(ROW()-1&lt;=教室申込!$K$5,教室申込!$K$7=0,COUNTA(教室申込!$C$4)=1),INDEX(展開用!$B$2:$B$601,MATCH(ROW()-1,展開用!$E$2:$E$601,0)),"")</f>
        <v/>
      </c>
      <c r="AX103" s="1"/>
      <c r="AY103" s="1"/>
    </row>
    <row r="104" spans="1:51" ht="24" customHeight="1">
      <c r="A104" s="11"/>
      <c r="B104" s="11"/>
      <c r="C104" s="11"/>
      <c r="D104" s="11"/>
      <c r="E104" s="11"/>
      <c r="F104" s="11"/>
      <c r="G104" s="11"/>
      <c r="H104" s="11" t="str">
        <f>IF(AND(ROW()-1&lt;=教室申込!$K$5,教室申込!$K$7=0,COUNTA(教室申込!$C$4)=1),INDEX(展開用!$C$2:$C$601,MATCH(ROW()-1,展開用!$E$2:$E$601,0)),"")</f>
        <v/>
      </c>
      <c r="I104" s="11" t="str">
        <f>IF(AND(ROW()-1&lt;=教室申込!$K$5,教室申込!$K$7=0,COUNTA(教室申込!$C$4)=1),INDEX(展開用!$D$2:$D$601,MATCH(ROW()-1,展開用!$E$2:$E$601,0)),"")</f>
        <v/>
      </c>
      <c r="J104" s="11"/>
      <c r="K104" s="11"/>
      <c r="L104" s="11" t="str">
        <f>IF(AND(ROW()-1&lt;=教室申込!$K$5,教室申込!$K$7=0,COUNTA(教室申込!$C$4)=1),INDEX(教室申込!$B$1:$B$212,$AW104),"")</f>
        <v/>
      </c>
      <c r="M104" s="11" t="str">
        <f>IF(AND(ROW()-1&lt;=教室申込!$K$5,教室申込!$K$7=0,COUNTA(教室申込!$C$4)=1),INDEX(教室申込!$C$1:$C$212,$AW104),"")</f>
        <v/>
      </c>
      <c r="N104" s="11"/>
      <c r="O104" s="12" t="str">
        <f>IF(AND(ROW()-1&lt;=教室申込!$K$5,教室申込!$K$7=0,COUNTA(教室申込!$C$4)=1),INDEX(展開用!$G$2:$G$601,MATCH(ROW()-1,展開用!$E$2:$E$601,0)),"")</f>
        <v/>
      </c>
      <c r="P104" s="11"/>
      <c r="Q104" s="11"/>
      <c r="R104" s="11"/>
      <c r="S104" s="11"/>
      <c r="T104" s="11"/>
      <c r="U104" s="11" t="str">
        <f>IF(AND(ROW()-1&lt;=教室申込!$K$5,教室申込!$K$7=0,COUNTA(教室申込!$C$4)=1),INDEX(展開用!$F$2:$F$601,MATCH(ROW()-1,展開用!$E$2:$E$601,0)),"")</f>
        <v/>
      </c>
      <c r="V104" s="11"/>
      <c r="W104" s="11"/>
      <c r="X104" s="11"/>
      <c r="Y104" s="11"/>
      <c r="Z104" s="11"/>
      <c r="AA104" s="11" t="str">
        <f>IF($AW104="","",IF(INDEX(教室申込!$J$1:$J$212,$AW104)="","",INDEX(教室申込!$J$1:$J$212,$AW104)))</f>
        <v/>
      </c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" t="str">
        <f>IF(AND(ROW()-1&lt;=教室申込!$K$5,教室申込!$K$7=0,COUNTA(教室申込!$C$4)=1),INDEX(展開用!$B$2:$B$601,MATCH(ROW()-1,展開用!$E$2:$E$601,0)),"")</f>
        <v/>
      </c>
      <c r="AX104" s="1"/>
      <c r="AY104" s="1"/>
    </row>
    <row r="105" spans="1:51" ht="24" customHeight="1">
      <c r="A105" s="11"/>
      <c r="B105" s="11"/>
      <c r="C105" s="11"/>
      <c r="D105" s="11"/>
      <c r="E105" s="11"/>
      <c r="F105" s="11"/>
      <c r="G105" s="11"/>
      <c r="H105" s="11" t="str">
        <f>IF(AND(ROW()-1&lt;=教室申込!$K$5,教室申込!$K$7=0,COUNTA(教室申込!$C$4)=1),INDEX(展開用!$C$2:$C$601,MATCH(ROW()-1,展開用!$E$2:$E$601,0)),"")</f>
        <v/>
      </c>
      <c r="I105" s="11" t="str">
        <f>IF(AND(ROW()-1&lt;=教室申込!$K$5,教室申込!$K$7=0,COUNTA(教室申込!$C$4)=1),INDEX(展開用!$D$2:$D$601,MATCH(ROW()-1,展開用!$E$2:$E$601,0)),"")</f>
        <v/>
      </c>
      <c r="J105" s="11"/>
      <c r="K105" s="11"/>
      <c r="L105" s="11" t="str">
        <f>IF(AND(ROW()-1&lt;=教室申込!$K$5,教室申込!$K$7=0,COUNTA(教室申込!$C$4)=1),INDEX(教室申込!$B$1:$B$212,$AW105),"")</f>
        <v/>
      </c>
      <c r="M105" s="11" t="str">
        <f>IF(AND(ROW()-1&lt;=教室申込!$K$5,教室申込!$K$7=0,COUNTA(教室申込!$C$4)=1),INDEX(教室申込!$C$1:$C$212,$AW105),"")</f>
        <v/>
      </c>
      <c r="N105" s="11"/>
      <c r="O105" s="12" t="str">
        <f>IF(AND(ROW()-1&lt;=教室申込!$K$5,教室申込!$K$7=0,COUNTA(教室申込!$C$4)=1),INDEX(展開用!$G$2:$G$601,MATCH(ROW()-1,展開用!$E$2:$E$601,0)),"")</f>
        <v/>
      </c>
      <c r="P105" s="11"/>
      <c r="Q105" s="11"/>
      <c r="R105" s="11"/>
      <c r="S105" s="11"/>
      <c r="T105" s="11"/>
      <c r="U105" s="11" t="str">
        <f>IF(AND(ROW()-1&lt;=教室申込!$K$5,教室申込!$K$7=0,COUNTA(教室申込!$C$4)=1),INDEX(展開用!$F$2:$F$601,MATCH(ROW()-1,展開用!$E$2:$E$601,0)),"")</f>
        <v/>
      </c>
      <c r="V105" s="11"/>
      <c r="W105" s="11"/>
      <c r="X105" s="11"/>
      <c r="Y105" s="11"/>
      <c r="Z105" s="11"/>
      <c r="AA105" s="11" t="str">
        <f>IF($AW105="","",IF(INDEX(教室申込!$J$1:$J$212,$AW105)="","",INDEX(教室申込!$J$1:$J$212,$AW105)))</f>
        <v/>
      </c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" t="str">
        <f>IF(AND(ROW()-1&lt;=教室申込!$K$5,教室申込!$K$7=0,COUNTA(教室申込!$C$4)=1),INDEX(展開用!$B$2:$B$601,MATCH(ROW()-1,展開用!$E$2:$E$601,0)),"")</f>
        <v/>
      </c>
      <c r="AX105" s="1"/>
      <c r="AY105" s="1"/>
    </row>
    <row r="106" spans="1:51" ht="24" customHeight="1">
      <c r="A106" s="11"/>
      <c r="B106" s="11"/>
      <c r="C106" s="11"/>
      <c r="D106" s="11"/>
      <c r="E106" s="11"/>
      <c r="F106" s="11"/>
      <c r="G106" s="11"/>
      <c r="H106" s="11" t="str">
        <f>IF(AND(ROW()-1&lt;=教室申込!$K$5,教室申込!$K$7=0,COUNTA(教室申込!$C$4)=1),INDEX(展開用!$C$2:$C$601,MATCH(ROW()-1,展開用!$E$2:$E$601,0)),"")</f>
        <v/>
      </c>
      <c r="I106" s="11" t="str">
        <f>IF(AND(ROW()-1&lt;=教室申込!$K$5,教室申込!$K$7=0,COUNTA(教室申込!$C$4)=1),INDEX(展開用!$D$2:$D$601,MATCH(ROW()-1,展開用!$E$2:$E$601,0)),"")</f>
        <v/>
      </c>
      <c r="J106" s="11"/>
      <c r="K106" s="11"/>
      <c r="L106" s="11" t="str">
        <f>IF(AND(ROW()-1&lt;=教室申込!$K$5,教室申込!$K$7=0,COUNTA(教室申込!$C$4)=1),INDEX(教室申込!$B$1:$B$212,$AW106),"")</f>
        <v/>
      </c>
      <c r="M106" s="11" t="str">
        <f>IF(AND(ROW()-1&lt;=教室申込!$K$5,教室申込!$K$7=0,COUNTA(教室申込!$C$4)=1),INDEX(教室申込!$C$1:$C$212,$AW106),"")</f>
        <v/>
      </c>
      <c r="N106" s="11"/>
      <c r="O106" s="12" t="str">
        <f>IF(AND(ROW()-1&lt;=教室申込!$K$5,教室申込!$K$7=0,COUNTA(教室申込!$C$4)=1),INDEX(展開用!$G$2:$G$601,MATCH(ROW()-1,展開用!$E$2:$E$601,0)),"")</f>
        <v/>
      </c>
      <c r="P106" s="11"/>
      <c r="Q106" s="11"/>
      <c r="R106" s="11"/>
      <c r="S106" s="11"/>
      <c r="T106" s="11"/>
      <c r="U106" s="11" t="str">
        <f>IF(AND(ROW()-1&lt;=教室申込!$K$5,教室申込!$K$7=0,COUNTA(教室申込!$C$4)=1),INDEX(展開用!$F$2:$F$601,MATCH(ROW()-1,展開用!$E$2:$E$601,0)),"")</f>
        <v/>
      </c>
      <c r="V106" s="11"/>
      <c r="W106" s="11"/>
      <c r="X106" s="11"/>
      <c r="Y106" s="11"/>
      <c r="Z106" s="11"/>
      <c r="AA106" s="11" t="str">
        <f>IF($AW106="","",IF(INDEX(教室申込!$J$1:$J$212,$AW106)="","",INDEX(教室申込!$J$1:$J$212,$AW106)))</f>
        <v/>
      </c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" t="str">
        <f>IF(AND(ROW()-1&lt;=教室申込!$K$5,教室申込!$K$7=0,COUNTA(教室申込!$C$4)=1),INDEX(展開用!$B$2:$B$601,MATCH(ROW()-1,展開用!$E$2:$E$601,0)),"")</f>
        <v/>
      </c>
      <c r="AX106" s="1"/>
      <c r="AY106" s="1"/>
    </row>
    <row r="107" spans="1:51" ht="24" customHeight="1">
      <c r="A107" s="11"/>
      <c r="B107" s="11"/>
      <c r="C107" s="11"/>
      <c r="D107" s="11"/>
      <c r="E107" s="11"/>
      <c r="F107" s="11"/>
      <c r="G107" s="11"/>
      <c r="H107" s="11" t="str">
        <f>IF(AND(ROW()-1&lt;=教室申込!$K$5,教室申込!$K$7=0,COUNTA(教室申込!$C$4)=1),INDEX(展開用!$C$2:$C$601,MATCH(ROW()-1,展開用!$E$2:$E$601,0)),"")</f>
        <v/>
      </c>
      <c r="I107" s="11" t="str">
        <f>IF(AND(ROW()-1&lt;=教室申込!$K$5,教室申込!$K$7=0,COUNTA(教室申込!$C$4)=1),INDEX(展開用!$D$2:$D$601,MATCH(ROW()-1,展開用!$E$2:$E$601,0)),"")</f>
        <v/>
      </c>
      <c r="J107" s="11"/>
      <c r="K107" s="11"/>
      <c r="L107" s="11" t="str">
        <f>IF(AND(ROW()-1&lt;=教室申込!$K$5,教室申込!$K$7=0,COUNTA(教室申込!$C$4)=1),INDEX(教室申込!$B$1:$B$212,$AW107),"")</f>
        <v/>
      </c>
      <c r="M107" s="11" t="str">
        <f>IF(AND(ROW()-1&lt;=教室申込!$K$5,教室申込!$K$7=0,COUNTA(教室申込!$C$4)=1),INDEX(教室申込!$C$1:$C$212,$AW107),"")</f>
        <v/>
      </c>
      <c r="N107" s="11"/>
      <c r="O107" s="12" t="str">
        <f>IF(AND(ROW()-1&lt;=教室申込!$K$5,教室申込!$K$7=0,COUNTA(教室申込!$C$4)=1),INDEX(展開用!$G$2:$G$601,MATCH(ROW()-1,展開用!$E$2:$E$601,0)),"")</f>
        <v/>
      </c>
      <c r="P107" s="11"/>
      <c r="Q107" s="11"/>
      <c r="R107" s="11"/>
      <c r="S107" s="11"/>
      <c r="T107" s="11"/>
      <c r="U107" s="11" t="str">
        <f>IF(AND(ROW()-1&lt;=教室申込!$K$5,教室申込!$K$7=0,COUNTA(教室申込!$C$4)=1),INDEX(展開用!$F$2:$F$601,MATCH(ROW()-1,展開用!$E$2:$E$601,0)),"")</f>
        <v/>
      </c>
      <c r="V107" s="11"/>
      <c r="W107" s="11"/>
      <c r="X107" s="11"/>
      <c r="Y107" s="11"/>
      <c r="Z107" s="11"/>
      <c r="AA107" s="11" t="str">
        <f>IF($AW107="","",IF(INDEX(教室申込!$J$1:$J$212,$AW107)="","",INDEX(教室申込!$J$1:$J$212,$AW107)))</f>
        <v/>
      </c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" t="str">
        <f>IF(AND(ROW()-1&lt;=教室申込!$K$5,教室申込!$K$7=0,COUNTA(教室申込!$C$4)=1),INDEX(展開用!$B$2:$B$601,MATCH(ROW()-1,展開用!$E$2:$E$601,0)),"")</f>
        <v/>
      </c>
      <c r="AX107" s="1"/>
      <c r="AY107" s="1"/>
    </row>
    <row r="108" spans="1:51" ht="24" customHeight="1">
      <c r="A108" s="11"/>
      <c r="B108" s="11"/>
      <c r="C108" s="11"/>
      <c r="D108" s="11"/>
      <c r="E108" s="11"/>
      <c r="F108" s="11"/>
      <c r="G108" s="11"/>
      <c r="H108" s="11" t="str">
        <f>IF(AND(ROW()-1&lt;=教室申込!$K$5,教室申込!$K$7=0,COUNTA(教室申込!$C$4)=1),INDEX(展開用!$C$2:$C$601,MATCH(ROW()-1,展開用!$E$2:$E$601,0)),"")</f>
        <v/>
      </c>
      <c r="I108" s="11" t="str">
        <f>IF(AND(ROW()-1&lt;=教室申込!$K$5,教室申込!$K$7=0,COUNTA(教室申込!$C$4)=1),INDEX(展開用!$D$2:$D$601,MATCH(ROW()-1,展開用!$E$2:$E$601,0)),"")</f>
        <v/>
      </c>
      <c r="J108" s="11"/>
      <c r="K108" s="11"/>
      <c r="L108" s="11" t="str">
        <f>IF(AND(ROW()-1&lt;=教室申込!$K$5,教室申込!$K$7=0,COUNTA(教室申込!$C$4)=1),INDEX(教室申込!$B$1:$B$212,$AW108),"")</f>
        <v/>
      </c>
      <c r="M108" s="11" t="str">
        <f>IF(AND(ROW()-1&lt;=教室申込!$K$5,教室申込!$K$7=0,COUNTA(教室申込!$C$4)=1),INDEX(教室申込!$C$1:$C$212,$AW108),"")</f>
        <v/>
      </c>
      <c r="N108" s="11"/>
      <c r="O108" s="12" t="str">
        <f>IF(AND(ROW()-1&lt;=教室申込!$K$5,教室申込!$K$7=0,COUNTA(教室申込!$C$4)=1),INDEX(展開用!$G$2:$G$601,MATCH(ROW()-1,展開用!$E$2:$E$601,0)),"")</f>
        <v/>
      </c>
      <c r="P108" s="11"/>
      <c r="Q108" s="11"/>
      <c r="R108" s="11"/>
      <c r="S108" s="11"/>
      <c r="T108" s="11"/>
      <c r="U108" s="11" t="str">
        <f>IF(AND(ROW()-1&lt;=教室申込!$K$5,教室申込!$K$7=0,COUNTA(教室申込!$C$4)=1),INDEX(展開用!$F$2:$F$601,MATCH(ROW()-1,展開用!$E$2:$E$601,0)),"")</f>
        <v/>
      </c>
      <c r="V108" s="11"/>
      <c r="W108" s="11"/>
      <c r="X108" s="11"/>
      <c r="Y108" s="11"/>
      <c r="Z108" s="11"/>
      <c r="AA108" s="11" t="str">
        <f>IF($AW108="","",IF(INDEX(教室申込!$J$1:$J$212,$AW108)="","",INDEX(教室申込!$J$1:$J$212,$AW108)))</f>
        <v/>
      </c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" t="str">
        <f>IF(AND(ROW()-1&lt;=教室申込!$K$5,教室申込!$K$7=0,COUNTA(教室申込!$C$4)=1),INDEX(展開用!$B$2:$B$601,MATCH(ROW()-1,展開用!$E$2:$E$601,0)),"")</f>
        <v/>
      </c>
      <c r="AX108" s="1"/>
      <c r="AY108" s="1"/>
    </row>
    <row r="109" spans="1:51" ht="24" customHeight="1">
      <c r="A109" s="11"/>
      <c r="B109" s="11"/>
      <c r="C109" s="11"/>
      <c r="D109" s="11"/>
      <c r="E109" s="11"/>
      <c r="F109" s="11"/>
      <c r="G109" s="11"/>
      <c r="H109" s="11" t="str">
        <f>IF(AND(ROW()-1&lt;=教室申込!$K$5,教室申込!$K$7=0,COUNTA(教室申込!$C$4)=1),INDEX(展開用!$C$2:$C$601,MATCH(ROW()-1,展開用!$E$2:$E$601,0)),"")</f>
        <v/>
      </c>
      <c r="I109" s="11" t="str">
        <f>IF(AND(ROW()-1&lt;=教室申込!$K$5,教室申込!$K$7=0,COUNTA(教室申込!$C$4)=1),INDEX(展開用!$D$2:$D$601,MATCH(ROW()-1,展開用!$E$2:$E$601,0)),"")</f>
        <v/>
      </c>
      <c r="J109" s="11"/>
      <c r="K109" s="11"/>
      <c r="L109" s="11" t="str">
        <f>IF(AND(ROW()-1&lt;=教室申込!$K$5,教室申込!$K$7=0,COUNTA(教室申込!$C$4)=1),INDEX(教室申込!$B$1:$B$212,$AW109),"")</f>
        <v/>
      </c>
      <c r="M109" s="11" t="str">
        <f>IF(AND(ROW()-1&lt;=教室申込!$K$5,教室申込!$K$7=0,COUNTA(教室申込!$C$4)=1),INDEX(教室申込!$C$1:$C$212,$AW109),"")</f>
        <v/>
      </c>
      <c r="N109" s="11"/>
      <c r="O109" s="12" t="str">
        <f>IF(AND(ROW()-1&lt;=教室申込!$K$5,教室申込!$K$7=0,COUNTA(教室申込!$C$4)=1),INDEX(展開用!$G$2:$G$601,MATCH(ROW()-1,展開用!$E$2:$E$601,0)),"")</f>
        <v/>
      </c>
      <c r="P109" s="11"/>
      <c r="Q109" s="11"/>
      <c r="R109" s="11"/>
      <c r="S109" s="11"/>
      <c r="T109" s="11"/>
      <c r="U109" s="11" t="str">
        <f>IF(AND(ROW()-1&lt;=教室申込!$K$5,教室申込!$K$7=0,COUNTA(教室申込!$C$4)=1),INDEX(展開用!$F$2:$F$601,MATCH(ROW()-1,展開用!$E$2:$E$601,0)),"")</f>
        <v/>
      </c>
      <c r="V109" s="11"/>
      <c r="W109" s="11"/>
      <c r="X109" s="11"/>
      <c r="Y109" s="11"/>
      <c r="Z109" s="11"/>
      <c r="AA109" s="11" t="str">
        <f>IF($AW109="","",IF(INDEX(教室申込!$J$1:$J$212,$AW109)="","",INDEX(教室申込!$J$1:$J$212,$AW109)))</f>
        <v/>
      </c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" t="str">
        <f>IF(AND(ROW()-1&lt;=教室申込!$K$5,教室申込!$K$7=0,COUNTA(教室申込!$C$4)=1),INDEX(展開用!$B$2:$B$601,MATCH(ROW()-1,展開用!$E$2:$E$601,0)),"")</f>
        <v/>
      </c>
      <c r="AX109" s="1"/>
      <c r="AY109" s="1"/>
    </row>
    <row r="110" spans="1:51" ht="24" customHeight="1">
      <c r="A110" s="11"/>
      <c r="B110" s="11"/>
      <c r="C110" s="11"/>
      <c r="D110" s="11"/>
      <c r="E110" s="11"/>
      <c r="F110" s="11"/>
      <c r="G110" s="11"/>
      <c r="H110" s="11" t="str">
        <f>IF(AND(ROW()-1&lt;=教室申込!$K$5,教室申込!$K$7=0,COUNTA(教室申込!$C$4)=1),INDEX(展開用!$C$2:$C$601,MATCH(ROW()-1,展開用!$E$2:$E$601,0)),"")</f>
        <v/>
      </c>
      <c r="I110" s="11" t="str">
        <f>IF(AND(ROW()-1&lt;=教室申込!$K$5,教室申込!$K$7=0,COUNTA(教室申込!$C$4)=1),INDEX(展開用!$D$2:$D$601,MATCH(ROW()-1,展開用!$E$2:$E$601,0)),"")</f>
        <v/>
      </c>
      <c r="J110" s="11"/>
      <c r="K110" s="11"/>
      <c r="L110" s="11" t="str">
        <f>IF(AND(ROW()-1&lt;=教室申込!$K$5,教室申込!$K$7=0,COUNTA(教室申込!$C$4)=1),INDEX(教室申込!$B$1:$B$212,$AW110),"")</f>
        <v/>
      </c>
      <c r="M110" s="11" t="str">
        <f>IF(AND(ROW()-1&lt;=教室申込!$K$5,教室申込!$K$7=0,COUNTA(教室申込!$C$4)=1),INDEX(教室申込!$C$1:$C$212,$AW110),"")</f>
        <v/>
      </c>
      <c r="N110" s="11"/>
      <c r="O110" s="12" t="str">
        <f>IF(AND(ROW()-1&lt;=教室申込!$K$5,教室申込!$K$7=0,COUNTA(教室申込!$C$4)=1),INDEX(展開用!$G$2:$G$601,MATCH(ROW()-1,展開用!$E$2:$E$601,0)),"")</f>
        <v/>
      </c>
      <c r="P110" s="11"/>
      <c r="Q110" s="11"/>
      <c r="R110" s="11"/>
      <c r="S110" s="11"/>
      <c r="T110" s="11"/>
      <c r="U110" s="11" t="str">
        <f>IF(AND(ROW()-1&lt;=教室申込!$K$5,教室申込!$K$7=0,COUNTA(教室申込!$C$4)=1),INDEX(展開用!$F$2:$F$601,MATCH(ROW()-1,展開用!$E$2:$E$601,0)),"")</f>
        <v/>
      </c>
      <c r="V110" s="11"/>
      <c r="W110" s="11"/>
      <c r="X110" s="11"/>
      <c r="Y110" s="11"/>
      <c r="Z110" s="11"/>
      <c r="AA110" s="11" t="str">
        <f>IF($AW110="","",IF(INDEX(教室申込!$J$1:$J$212,$AW110)="","",INDEX(教室申込!$J$1:$J$212,$AW110)))</f>
        <v/>
      </c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" t="str">
        <f>IF(AND(ROW()-1&lt;=教室申込!$K$5,教室申込!$K$7=0,COUNTA(教室申込!$C$4)=1),INDEX(展開用!$B$2:$B$601,MATCH(ROW()-1,展開用!$E$2:$E$601,0)),"")</f>
        <v/>
      </c>
      <c r="AX110" s="1"/>
      <c r="AY110" s="1"/>
    </row>
    <row r="111" spans="1:51" ht="24" customHeight="1">
      <c r="A111" s="11"/>
      <c r="B111" s="11"/>
      <c r="C111" s="11"/>
      <c r="D111" s="11"/>
      <c r="E111" s="11"/>
      <c r="F111" s="11"/>
      <c r="G111" s="11"/>
      <c r="H111" s="11" t="str">
        <f>IF(AND(ROW()-1&lt;=教室申込!$K$5,教室申込!$K$7=0,COUNTA(教室申込!$C$4)=1),INDEX(展開用!$C$2:$C$601,MATCH(ROW()-1,展開用!$E$2:$E$601,0)),"")</f>
        <v/>
      </c>
      <c r="I111" s="11" t="str">
        <f>IF(AND(ROW()-1&lt;=教室申込!$K$5,教室申込!$K$7=0,COUNTA(教室申込!$C$4)=1),INDEX(展開用!$D$2:$D$601,MATCH(ROW()-1,展開用!$E$2:$E$601,0)),"")</f>
        <v/>
      </c>
      <c r="J111" s="11"/>
      <c r="K111" s="11"/>
      <c r="L111" s="11" t="str">
        <f>IF(AND(ROW()-1&lt;=教室申込!$K$5,教室申込!$K$7=0,COUNTA(教室申込!$C$4)=1),INDEX(教室申込!$B$1:$B$212,$AW111),"")</f>
        <v/>
      </c>
      <c r="M111" s="11" t="str">
        <f>IF(AND(ROW()-1&lt;=教室申込!$K$5,教室申込!$K$7=0,COUNTA(教室申込!$C$4)=1),INDEX(教室申込!$C$1:$C$212,$AW111),"")</f>
        <v/>
      </c>
      <c r="N111" s="11"/>
      <c r="O111" s="12" t="str">
        <f>IF(AND(ROW()-1&lt;=教室申込!$K$5,教室申込!$K$7=0,COUNTA(教室申込!$C$4)=1),INDEX(展開用!$G$2:$G$601,MATCH(ROW()-1,展開用!$E$2:$E$601,0)),"")</f>
        <v/>
      </c>
      <c r="P111" s="11"/>
      <c r="Q111" s="11"/>
      <c r="R111" s="11"/>
      <c r="S111" s="11"/>
      <c r="T111" s="11"/>
      <c r="U111" s="11" t="str">
        <f>IF(AND(ROW()-1&lt;=教室申込!$K$5,教室申込!$K$7=0,COUNTA(教室申込!$C$4)=1),INDEX(展開用!$F$2:$F$601,MATCH(ROW()-1,展開用!$E$2:$E$601,0)),"")</f>
        <v/>
      </c>
      <c r="V111" s="11"/>
      <c r="W111" s="11"/>
      <c r="X111" s="11"/>
      <c r="Y111" s="11"/>
      <c r="Z111" s="11"/>
      <c r="AA111" s="11" t="str">
        <f>IF($AW111="","",IF(INDEX(教室申込!$J$1:$J$212,$AW111)="","",INDEX(教室申込!$J$1:$J$212,$AW111)))</f>
        <v/>
      </c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" t="str">
        <f>IF(AND(ROW()-1&lt;=教室申込!$K$5,教室申込!$K$7=0,COUNTA(教室申込!$C$4)=1),INDEX(展開用!$B$2:$B$601,MATCH(ROW()-1,展開用!$E$2:$E$601,0)),"")</f>
        <v/>
      </c>
      <c r="AX111" s="1"/>
      <c r="AY111" s="1"/>
    </row>
    <row r="112" spans="1:51" ht="24" customHeight="1">
      <c r="A112" s="11"/>
      <c r="B112" s="11"/>
      <c r="C112" s="11"/>
      <c r="D112" s="11"/>
      <c r="E112" s="11"/>
      <c r="F112" s="11"/>
      <c r="G112" s="11"/>
      <c r="H112" s="11" t="str">
        <f>IF(AND(ROW()-1&lt;=教室申込!$K$5,教室申込!$K$7=0,COUNTA(教室申込!$C$4)=1),INDEX(展開用!$C$2:$C$601,MATCH(ROW()-1,展開用!$E$2:$E$601,0)),"")</f>
        <v/>
      </c>
      <c r="I112" s="11" t="str">
        <f>IF(AND(ROW()-1&lt;=教室申込!$K$5,教室申込!$K$7=0,COUNTA(教室申込!$C$4)=1),INDEX(展開用!$D$2:$D$601,MATCH(ROW()-1,展開用!$E$2:$E$601,0)),"")</f>
        <v/>
      </c>
      <c r="J112" s="11"/>
      <c r="K112" s="11"/>
      <c r="L112" s="11" t="str">
        <f>IF(AND(ROW()-1&lt;=教室申込!$K$5,教室申込!$K$7=0,COUNTA(教室申込!$C$4)=1),INDEX(教室申込!$B$1:$B$212,$AW112),"")</f>
        <v/>
      </c>
      <c r="M112" s="11" t="str">
        <f>IF(AND(ROW()-1&lt;=教室申込!$K$5,教室申込!$K$7=0,COUNTA(教室申込!$C$4)=1),INDEX(教室申込!$C$1:$C$212,$AW112),"")</f>
        <v/>
      </c>
      <c r="N112" s="11"/>
      <c r="O112" s="12" t="str">
        <f>IF(AND(ROW()-1&lt;=教室申込!$K$5,教室申込!$K$7=0,COUNTA(教室申込!$C$4)=1),INDEX(展開用!$G$2:$G$601,MATCH(ROW()-1,展開用!$E$2:$E$601,0)),"")</f>
        <v/>
      </c>
      <c r="P112" s="11"/>
      <c r="Q112" s="11"/>
      <c r="R112" s="11"/>
      <c r="S112" s="11"/>
      <c r="T112" s="11"/>
      <c r="U112" s="11" t="str">
        <f>IF(AND(ROW()-1&lt;=教室申込!$K$5,教室申込!$K$7=0,COUNTA(教室申込!$C$4)=1),INDEX(展開用!$F$2:$F$601,MATCH(ROW()-1,展開用!$E$2:$E$601,0)),"")</f>
        <v/>
      </c>
      <c r="V112" s="11"/>
      <c r="W112" s="11"/>
      <c r="X112" s="11"/>
      <c r="Y112" s="11"/>
      <c r="Z112" s="11"/>
      <c r="AA112" s="11" t="str">
        <f>IF($AW112="","",IF(INDEX(教室申込!$J$1:$J$212,$AW112)="","",INDEX(教室申込!$J$1:$J$212,$AW112)))</f>
        <v/>
      </c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" t="str">
        <f>IF(AND(ROW()-1&lt;=教室申込!$K$5,教室申込!$K$7=0,COUNTA(教室申込!$C$4)=1),INDEX(展開用!$B$2:$B$601,MATCH(ROW()-1,展開用!$E$2:$E$601,0)),"")</f>
        <v/>
      </c>
      <c r="AX112" s="1"/>
      <c r="AY112" s="1"/>
    </row>
    <row r="113" spans="1:51" ht="24" customHeight="1">
      <c r="A113" s="11"/>
      <c r="B113" s="11"/>
      <c r="C113" s="11"/>
      <c r="D113" s="11"/>
      <c r="E113" s="11"/>
      <c r="F113" s="11"/>
      <c r="G113" s="11"/>
      <c r="H113" s="11" t="str">
        <f>IF(AND(ROW()-1&lt;=教室申込!$K$5,教室申込!$K$7=0,COUNTA(教室申込!$C$4)=1),INDEX(展開用!$C$2:$C$601,MATCH(ROW()-1,展開用!$E$2:$E$601,0)),"")</f>
        <v/>
      </c>
      <c r="I113" s="11" t="str">
        <f>IF(AND(ROW()-1&lt;=教室申込!$K$5,教室申込!$K$7=0,COUNTA(教室申込!$C$4)=1),INDEX(展開用!$D$2:$D$601,MATCH(ROW()-1,展開用!$E$2:$E$601,0)),"")</f>
        <v/>
      </c>
      <c r="J113" s="11"/>
      <c r="K113" s="11"/>
      <c r="L113" s="11" t="str">
        <f>IF(AND(ROW()-1&lt;=教室申込!$K$5,教室申込!$K$7=0,COUNTA(教室申込!$C$4)=1),INDEX(教室申込!$B$1:$B$212,$AW113),"")</f>
        <v/>
      </c>
      <c r="M113" s="11" t="str">
        <f>IF(AND(ROW()-1&lt;=教室申込!$K$5,教室申込!$K$7=0,COUNTA(教室申込!$C$4)=1),INDEX(教室申込!$C$1:$C$212,$AW113),"")</f>
        <v/>
      </c>
      <c r="N113" s="11"/>
      <c r="O113" s="12" t="str">
        <f>IF(AND(ROW()-1&lt;=教室申込!$K$5,教室申込!$K$7=0,COUNTA(教室申込!$C$4)=1),INDEX(展開用!$G$2:$G$601,MATCH(ROW()-1,展開用!$E$2:$E$601,0)),"")</f>
        <v/>
      </c>
      <c r="P113" s="11"/>
      <c r="Q113" s="11"/>
      <c r="R113" s="11"/>
      <c r="S113" s="11"/>
      <c r="T113" s="11"/>
      <c r="U113" s="11" t="str">
        <f>IF(AND(ROW()-1&lt;=教室申込!$K$5,教室申込!$K$7=0,COUNTA(教室申込!$C$4)=1),INDEX(展開用!$F$2:$F$601,MATCH(ROW()-1,展開用!$E$2:$E$601,0)),"")</f>
        <v/>
      </c>
      <c r="V113" s="11"/>
      <c r="W113" s="11"/>
      <c r="X113" s="11"/>
      <c r="Y113" s="11"/>
      <c r="Z113" s="11"/>
      <c r="AA113" s="11" t="str">
        <f>IF($AW113="","",IF(INDEX(教室申込!$J$1:$J$212,$AW113)="","",INDEX(教室申込!$J$1:$J$212,$AW113)))</f>
        <v/>
      </c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" t="str">
        <f>IF(AND(ROW()-1&lt;=教室申込!$K$5,教室申込!$K$7=0,COUNTA(教室申込!$C$4)=1),INDEX(展開用!$B$2:$B$601,MATCH(ROW()-1,展開用!$E$2:$E$601,0)),"")</f>
        <v/>
      </c>
      <c r="AX113" s="1"/>
      <c r="AY113" s="1"/>
    </row>
    <row r="114" spans="1:51" ht="24" customHeight="1">
      <c r="A114" s="11"/>
      <c r="B114" s="11"/>
      <c r="C114" s="11"/>
      <c r="D114" s="11"/>
      <c r="E114" s="11"/>
      <c r="F114" s="11"/>
      <c r="G114" s="11"/>
      <c r="H114" s="11" t="str">
        <f>IF(AND(ROW()-1&lt;=教室申込!$K$5,教室申込!$K$7=0,COUNTA(教室申込!$C$4)=1),INDEX(展開用!$C$2:$C$601,MATCH(ROW()-1,展開用!$E$2:$E$601,0)),"")</f>
        <v/>
      </c>
      <c r="I114" s="11" t="str">
        <f>IF(AND(ROW()-1&lt;=教室申込!$K$5,教室申込!$K$7=0,COUNTA(教室申込!$C$4)=1),INDEX(展開用!$D$2:$D$601,MATCH(ROW()-1,展開用!$E$2:$E$601,0)),"")</f>
        <v/>
      </c>
      <c r="J114" s="11"/>
      <c r="K114" s="11"/>
      <c r="L114" s="11" t="str">
        <f>IF(AND(ROW()-1&lt;=教室申込!$K$5,教室申込!$K$7=0,COUNTA(教室申込!$C$4)=1),INDEX(教室申込!$B$1:$B$212,$AW114),"")</f>
        <v/>
      </c>
      <c r="M114" s="11" t="str">
        <f>IF(AND(ROW()-1&lt;=教室申込!$K$5,教室申込!$K$7=0,COUNTA(教室申込!$C$4)=1),INDEX(教室申込!$C$1:$C$212,$AW114),"")</f>
        <v/>
      </c>
      <c r="N114" s="11"/>
      <c r="O114" s="12" t="str">
        <f>IF(AND(ROW()-1&lt;=教室申込!$K$5,教室申込!$K$7=0,COUNTA(教室申込!$C$4)=1),INDEX(展開用!$G$2:$G$601,MATCH(ROW()-1,展開用!$E$2:$E$601,0)),"")</f>
        <v/>
      </c>
      <c r="P114" s="11"/>
      <c r="Q114" s="11"/>
      <c r="R114" s="11"/>
      <c r="S114" s="11"/>
      <c r="T114" s="11"/>
      <c r="U114" s="11" t="str">
        <f>IF(AND(ROW()-1&lt;=教室申込!$K$5,教室申込!$K$7=0,COUNTA(教室申込!$C$4)=1),INDEX(展開用!$F$2:$F$601,MATCH(ROW()-1,展開用!$E$2:$E$601,0)),"")</f>
        <v/>
      </c>
      <c r="V114" s="11"/>
      <c r="W114" s="11"/>
      <c r="X114" s="11"/>
      <c r="Y114" s="11"/>
      <c r="Z114" s="11"/>
      <c r="AA114" s="11" t="str">
        <f>IF($AW114="","",IF(INDEX(教室申込!$J$1:$J$212,$AW114)="","",INDEX(教室申込!$J$1:$J$212,$AW114)))</f>
        <v/>
      </c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" t="str">
        <f>IF(AND(ROW()-1&lt;=教室申込!$K$5,教室申込!$K$7=0,COUNTA(教室申込!$C$4)=1),INDEX(展開用!$B$2:$B$601,MATCH(ROW()-1,展開用!$E$2:$E$601,0)),"")</f>
        <v/>
      </c>
      <c r="AX114" s="1"/>
      <c r="AY114" s="1"/>
    </row>
    <row r="115" spans="1:51" ht="24" customHeight="1">
      <c r="A115" s="11"/>
      <c r="B115" s="11"/>
      <c r="C115" s="11"/>
      <c r="D115" s="11"/>
      <c r="E115" s="11"/>
      <c r="F115" s="11"/>
      <c r="G115" s="11"/>
      <c r="H115" s="11" t="str">
        <f>IF(AND(ROW()-1&lt;=教室申込!$K$5,教室申込!$K$7=0,COUNTA(教室申込!$C$4)=1),INDEX(展開用!$C$2:$C$601,MATCH(ROW()-1,展開用!$E$2:$E$601,0)),"")</f>
        <v/>
      </c>
      <c r="I115" s="11" t="str">
        <f>IF(AND(ROW()-1&lt;=教室申込!$K$5,教室申込!$K$7=0,COUNTA(教室申込!$C$4)=1),INDEX(展開用!$D$2:$D$601,MATCH(ROW()-1,展開用!$E$2:$E$601,0)),"")</f>
        <v/>
      </c>
      <c r="J115" s="11"/>
      <c r="K115" s="11"/>
      <c r="L115" s="11" t="str">
        <f>IF(AND(ROW()-1&lt;=教室申込!$K$5,教室申込!$K$7=0,COUNTA(教室申込!$C$4)=1),INDEX(教室申込!$B$1:$B$212,$AW115),"")</f>
        <v/>
      </c>
      <c r="M115" s="11" t="str">
        <f>IF(AND(ROW()-1&lt;=教室申込!$K$5,教室申込!$K$7=0,COUNTA(教室申込!$C$4)=1),INDEX(教室申込!$C$1:$C$212,$AW115),"")</f>
        <v/>
      </c>
      <c r="N115" s="11"/>
      <c r="O115" s="12" t="str">
        <f>IF(AND(ROW()-1&lt;=教室申込!$K$5,教室申込!$K$7=0,COUNTA(教室申込!$C$4)=1),INDEX(展開用!$G$2:$G$601,MATCH(ROW()-1,展開用!$E$2:$E$601,0)),"")</f>
        <v/>
      </c>
      <c r="P115" s="11"/>
      <c r="Q115" s="11"/>
      <c r="R115" s="11"/>
      <c r="S115" s="11"/>
      <c r="T115" s="11"/>
      <c r="U115" s="11" t="str">
        <f>IF(AND(ROW()-1&lt;=教室申込!$K$5,教室申込!$K$7=0,COUNTA(教室申込!$C$4)=1),INDEX(展開用!$F$2:$F$601,MATCH(ROW()-1,展開用!$E$2:$E$601,0)),"")</f>
        <v/>
      </c>
      <c r="V115" s="11"/>
      <c r="W115" s="11"/>
      <c r="X115" s="11"/>
      <c r="Y115" s="11"/>
      <c r="Z115" s="11"/>
      <c r="AA115" s="11" t="str">
        <f>IF($AW115="","",IF(INDEX(教室申込!$J$1:$J$212,$AW115)="","",INDEX(教室申込!$J$1:$J$212,$AW115)))</f>
        <v/>
      </c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" t="str">
        <f>IF(AND(ROW()-1&lt;=教室申込!$K$5,教室申込!$K$7=0,COUNTA(教室申込!$C$4)=1),INDEX(展開用!$B$2:$B$601,MATCH(ROW()-1,展開用!$E$2:$E$601,0)),"")</f>
        <v/>
      </c>
      <c r="AX115" s="1"/>
      <c r="AY115" s="1"/>
    </row>
    <row r="116" spans="1:51" ht="24" customHeight="1">
      <c r="A116" s="11"/>
      <c r="B116" s="11"/>
      <c r="C116" s="11"/>
      <c r="D116" s="11"/>
      <c r="E116" s="11"/>
      <c r="F116" s="11"/>
      <c r="G116" s="11"/>
      <c r="H116" s="11" t="str">
        <f>IF(AND(ROW()-1&lt;=教室申込!$K$5,教室申込!$K$7=0,COUNTA(教室申込!$C$4)=1),INDEX(展開用!$C$2:$C$601,MATCH(ROW()-1,展開用!$E$2:$E$601,0)),"")</f>
        <v/>
      </c>
      <c r="I116" s="11" t="str">
        <f>IF(AND(ROW()-1&lt;=教室申込!$K$5,教室申込!$K$7=0,COUNTA(教室申込!$C$4)=1),INDEX(展開用!$D$2:$D$601,MATCH(ROW()-1,展開用!$E$2:$E$601,0)),"")</f>
        <v/>
      </c>
      <c r="J116" s="11"/>
      <c r="K116" s="11"/>
      <c r="L116" s="11" t="str">
        <f>IF(AND(ROW()-1&lt;=教室申込!$K$5,教室申込!$K$7=0,COUNTA(教室申込!$C$4)=1),INDEX(教室申込!$B$1:$B$212,$AW116),"")</f>
        <v/>
      </c>
      <c r="M116" s="11" t="str">
        <f>IF(AND(ROW()-1&lt;=教室申込!$K$5,教室申込!$K$7=0,COUNTA(教室申込!$C$4)=1),INDEX(教室申込!$C$1:$C$212,$AW116),"")</f>
        <v/>
      </c>
      <c r="N116" s="11"/>
      <c r="O116" s="12" t="str">
        <f>IF(AND(ROW()-1&lt;=教室申込!$K$5,教室申込!$K$7=0,COUNTA(教室申込!$C$4)=1),INDEX(展開用!$G$2:$G$601,MATCH(ROW()-1,展開用!$E$2:$E$601,0)),"")</f>
        <v/>
      </c>
      <c r="P116" s="11"/>
      <c r="Q116" s="11"/>
      <c r="R116" s="11"/>
      <c r="S116" s="11"/>
      <c r="T116" s="11"/>
      <c r="U116" s="11" t="str">
        <f>IF(AND(ROW()-1&lt;=教室申込!$K$5,教室申込!$K$7=0,COUNTA(教室申込!$C$4)=1),INDEX(展開用!$F$2:$F$601,MATCH(ROW()-1,展開用!$E$2:$E$601,0)),"")</f>
        <v/>
      </c>
      <c r="V116" s="11"/>
      <c r="W116" s="11"/>
      <c r="X116" s="11"/>
      <c r="Y116" s="11"/>
      <c r="Z116" s="11"/>
      <c r="AA116" s="11" t="str">
        <f>IF($AW116="","",IF(INDEX(教室申込!$J$1:$J$212,$AW116)="","",INDEX(教室申込!$J$1:$J$212,$AW116)))</f>
        <v/>
      </c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" t="str">
        <f>IF(AND(ROW()-1&lt;=教室申込!$K$5,教室申込!$K$7=0,COUNTA(教室申込!$C$4)=1),INDEX(展開用!$B$2:$B$601,MATCH(ROW()-1,展開用!$E$2:$E$601,0)),"")</f>
        <v/>
      </c>
      <c r="AX116" s="1"/>
      <c r="AY116" s="1"/>
    </row>
    <row r="117" spans="1:51" ht="24" customHeight="1">
      <c r="A117" s="11"/>
      <c r="B117" s="11"/>
      <c r="C117" s="11"/>
      <c r="D117" s="11"/>
      <c r="E117" s="11"/>
      <c r="F117" s="11"/>
      <c r="G117" s="11"/>
      <c r="H117" s="11" t="str">
        <f>IF(AND(ROW()-1&lt;=教室申込!$K$5,教室申込!$K$7=0,COUNTA(教室申込!$C$4)=1),INDEX(展開用!$C$2:$C$601,MATCH(ROW()-1,展開用!$E$2:$E$601,0)),"")</f>
        <v/>
      </c>
      <c r="I117" s="11" t="str">
        <f>IF(AND(ROW()-1&lt;=教室申込!$K$5,教室申込!$K$7=0,COUNTA(教室申込!$C$4)=1),INDEX(展開用!$D$2:$D$601,MATCH(ROW()-1,展開用!$E$2:$E$601,0)),"")</f>
        <v/>
      </c>
      <c r="J117" s="11"/>
      <c r="K117" s="11"/>
      <c r="L117" s="11" t="str">
        <f>IF(AND(ROW()-1&lt;=教室申込!$K$5,教室申込!$K$7=0,COUNTA(教室申込!$C$4)=1),INDEX(教室申込!$B$1:$B$212,$AW117),"")</f>
        <v/>
      </c>
      <c r="M117" s="11" t="str">
        <f>IF(AND(ROW()-1&lt;=教室申込!$K$5,教室申込!$K$7=0,COUNTA(教室申込!$C$4)=1),INDEX(教室申込!$C$1:$C$212,$AW117),"")</f>
        <v/>
      </c>
      <c r="N117" s="11"/>
      <c r="O117" s="12" t="str">
        <f>IF(AND(ROW()-1&lt;=教室申込!$K$5,教室申込!$K$7=0,COUNTA(教室申込!$C$4)=1),INDEX(展開用!$G$2:$G$601,MATCH(ROW()-1,展開用!$E$2:$E$601,0)),"")</f>
        <v/>
      </c>
      <c r="P117" s="11"/>
      <c r="Q117" s="11"/>
      <c r="R117" s="11"/>
      <c r="S117" s="11"/>
      <c r="T117" s="11"/>
      <c r="U117" s="11" t="str">
        <f>IF(AND(ROW()-1&lt;=教室申込!$K$5,教室申込!$K$7=0,COUNTA(教室申込!$C$4)=1),INDEX(展開用!$F$2:$F$601,MATCH(ROW()-1,展開用!$E$2:$E$601,0)),"")</f>
        <v/>
      </c>
      <c r="V117" s="11"/>
      <c r="W117" s="11"/>
      <c r="X117" s="11"/>
      <c r="Y117" s="11"/>
      <c r="Z117" s="11"/>
      <c r="AA117" s="11" t="str">
        <f>IF($AW117="","",IF(INDEX(教室申込!$J$1:$J$212,$AW117)="","",INDEX(教室申込!$J$1:$J$212,$AW117)))</f>
        <v/>
      </c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" t="str">
        <f>IF(AND(ROW()-1&lt;=教室申込!$K$5,教室申込!$K$7=0,COUNTA(教室申込!$C$4)=1),INDEX(展開用!$B$2:$B$601,MATCH(ROW()-1,展開用!$E$2:$E$601,0)),"")</f>
        <v/>
      </c>
      <c r="AX117" s="1"/>
      <c r="AY117" s="1"/>
    </row>
    <row r="118" spans="1:51" ht="24" customHeight="1">
      <c r="A118" s="11"/>
      <c r="B118" s="11"/>
      <c r="C118" s="11"/>
      <c r="D118" s="11"/>
      <c r="E118" s="11"/>
      <c r="F118" s="11"/>
      <c r="G118" s="11"/>
      <c r="H118" s="11" t="str">
        <f>IF(AND(ROW()-1&lt;=教室申込!$K$5,教室申込!$K$7=0,COUNTA(教室申込!$C$4)=1),INDEX(展開用!$C$2:$C$601,MATCH(ROW()-1,展開用!$E$2:$E$601,0)),"")</f>
        <v/>
      </c>
      <c r="I118" s="11" t="str">
        <f>IF(AND(ROW()-1&lt;=教室申込!$K$5,教室申込!$K$7=0,COUNTA(教室申込!$C$4)=1),INDEX(展開用!$D$2:$D$601,MATCH(ROW()-1,展開用!$E$2:$E$601,0)),"")</f>
        <v/>
      </c>
      <c r="J118" s="11"/>
      <c r="K118" s="11"/>
      <c r="L118" s="11" t="str">
        <f>IF(AND(ROW()-1&lt;=教室申込!$K$5,教室申込!$K$7=0,COUNTA(教室申込!$C$4)=1),INDEX(教室申込!$B$1:$B$212,$AW118),"")</f>
        <v/>
      </c>
      <c r="M118" s="11" t="str">
        <f>IF(AND(ROW()-1&lt;=教室申込!$K$5,教室申込!$K$7=0,COUNTA(教室申込!$C$4)=1),INDEX(教室申込!$C$1:$C$212,$AW118),"")</f>
        <v/>
      </c>
      <c r="N118" s="11"/>
      <c r="O118" s="12" t="str">
        <f>IF(AND(ROW()-1&lt;=教室申込!$K$5,教室申込!$K$7=0,COUNTA(教室申込!$C$4)=1),INDEX(展開用!$G$2:$G$601,MATCH(ROW()-1,展開用!$E$2:$E$601,0)),"")</f>
        <v/>
      </c>
      <c r="P118" s="11"/>
      <c r="Q118" s="11"/>
      <c r="R118" s="11"/>
      <c r="S118" s="11"/>
      <c r="T118" s="11"/>
      <c r="U118" s="11" t="str">
        <f>IF(AND(ROW()-1&lt;=教室申込!$K$5,教室申込!$K$7=0,COUNTA(教室申込!$C$4)=1),INDEX(展開用!$F$2:$F$601,MATCH(ROW()-1,展開用!$E$2:$E$601,0)),"")</f>
        <v/>
      </c>
      <c r="V118" s="11"/>
      <c r="W118" s="11"/>
      <c r="X118" s="11"/>
      <c r="Y118" s="11"/>
      <c r="Z118" s="11"/>
      <c r="AA118" s="11" t="str">
        <f>IF($AW118="","",IF(INDEX(教室申込!$J$1:$J$212,$AW118)="","",INDEX(教室申込!$J$1:$J$212,$AW118)))</f>
        <v/>
      </c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" t="str">
        <f>IF(AND(ROW()-1&lt;=教室申込!$K$5,教室申込!$K$7=0,COUNTA(教室申込!$C$4)=1),INDEX(展開用!$B$2:$B$601,MATCH(ROW()-1,展開用!$E$2:$E$601,0)),"")</f>
        <v/>
      </c>
      <c r="AX118" s="1"/>
      <c r="AY118" s="1"/>
    </row>
    <row r="119" spans="1:51" ht="24" customHeight="1">
      <c r="A119" s="11"/>
      <c r="B119" s="11"/>
      <c r="C119" s="11"/>
      <c r="D119" s="11"/>
      <c r="E119" s="11"/>
      <c r="F119" s="11"/>
      <c r="G119" s="11"/>
      <c r="H119" s="11" t="str">
        <f>IF(AND(ROW()-1&lt;=教室申込!$K$5,教室申込!$K$7=0,COUNTA(教室申込!$C$4)=1),INDEX(展開用!$C$2:$C$601,MATCH(ROW()-1,展開用!$E$2:$E$601,0)),"")</f>
        <v/>
      </c>
      <c r="I119" s="11" t="str">
        <f>IF(AND(ROW()-1&lt;=教室申込!$K$5,教室申込!$K$7=0,COUNTA(教室申込!$C$4)=1),INDEX(展開用!$D$2:$D$601,MATCH(ROW()-1,展開用!$E$2:$E$601,0)),"")</f>
        <v/>
      </c>
      <c r="J119" s="11"/>
      <c r="K119" s="11"/>
      <c r="L119" s="11" t="str">
        <f>IF(AND(ROW()-1&lt;=教室申込!$K$5,教室申込!$K$7=0,COUNTA(教室申込!$C$4)=1),INDEX(教室申込!$B$1:$B$212,$AW119),"")</f>
        <v/>
      </c>
      <c r="M119" s="11" t="str">
        <f>IF(AND(ROW()-1&lt;=教室申込!$K$5,教室申込!$K$7=0,COUNTA(教室申込!$C$4)=1),INDEX(教室申込!$C$1:$C$212,$AW119),"")</f>
        <v/>
      </c>
      <c r="N119" s="11"/>
      <c r="O119" s="12" t="str">
        <f>IF(AND(ROW()-1&lt;=教室申込!$K$5,教室申込!$K$7=0,COUNTA(教室申込!$C$4)=1),INDEX(展開用!$G$2:$G$601,MATCH(ROW()-1,展開用!$E$2:$E$601,0)),"")</f>
        <v/>
      </c>
      <c r="P119" s="11"/>
      <c r="Q119" s="11"/>
      <c r="R119" s="11"/>
      <c r="S119" s="11"/>
      <c r="T119" s="11"/>
      <c r="U119" s="11" t="str">
        <f>IF(AND(ROW()-1&lt;=教室申込!$K$5,教室申込!$K$7=0,COUNTA(教室申込!$C$4)=1),INDEX(展開用!$F$2:$F$601,MATCH(ROW()-1,展開用!$E$2:$E$601,0)),"")</f>
        <v/>
      </c>
      <c r="V119" s="11"/>
      <c r="W119" s="11"/>
      <c r="X119" s="11"/>
      <c r="Y119" s="11"/>
      <c r="Z119" s="11"/>
      <c r="AA119" s="11" t="str">
        <f>IF($AW119="","",IF(INDEX(教室申込!$J$1:$J$212,$AW119)="","",INDEX(教室申込!$J$1:$J$212,$AW119)))</f>
        <v/>
      </c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" t="str">
        <f>IF(AND(ROW()-1&lt;=教室申込!$K$5,教室申込!$K$7=0,COUNTA(教室申込!$C$4)=1),INDEX(展開用!$B$2:$B$601,MATCH(ROW()-1,展開用!$E$2:$E$601,0)),"")</f>
        <v/>
      </c>
      <c r="AX119" s="1"/>
      <c r="AY119" s="1"/>
    </row>
    <row r="120" spans="1:51" ht="24" customHeight="1">
      <c r="A120" s="11"/>
      <c r="B120" s="11"/>
      <c r="C120" s="11"/>
      <c r="D120" s="11"/>
      <c r="E120" s="11"/>
      <c r="F120" s="11"/>
      <c r="G120" s="11"/>
      <c r="H120" s="11" t="str">
        <f>IF(AND(ROW()-1&lt;=教室申込!$K$5,教室申込!$K$7=0,COUNTA(教室申込!$C$4)=1),INDEX(展開用!$C$2:$C$601,MATCH(ROW()-1,展開用!$E$2:$E$601,0)),"")</f>
        <v/>
      </c>
      <c r="I120" s="11" t="str">
        <f>IF(AND(ROW()-1&lt;=教室申込!$K$5,教室申込!$K$7=0,COUNTA(教室申込!$C$4)=1),INDEX(展開用!$D$2:$D$601,MATCH(ROW()-1,展開用!$E$2:$E$601,0)),"")</f>
        <v/>
      </c>
      <c r="J120" s="11"/>
      <c r="K120" s="11"/>
      <c r="L120" s="11" t="str">
        <f>IF(AND(ROW()-1&lt;=教室申込!$K$5,教室申込!$K$7=0,COUNTA(教室申込!$C$4)=1),INDEX(教室申込!$B$1:$B$212,$AW120),"")</f>
        <v/>
      </c>
      <c r="M120" s="11" t="str">
        <f>IF(AND(ROW()-1&lt;=教室申込!$K$5,教室申込!$K$7=0,COUNTA(教室申込!$C$4)=1),INDEX(教室申込!$C$1:$C$212,$AW120),"")</f>
        <v/>
      </c>
      <c r="N120" s="11"/>
      <c r="O120" s="12" t="str">
        <f>IF(AND(ROW()-1&lt;=教室申込!$K$5,教室申込!$K$7=0,COUNTA(教室申込!$C$4)=1),INDEX(展開用!$G$2:$G$601,MATCH(ROW()-1,展開用!$E$2:$E$601,0)),"")</f>
        <v/>
      </c>
      <c r="P120" s="11"/>
      <c r="Q120" s="11"/>
      <c r="R120" s="11"/>
      <c r="S120" s="11"/>
      <c r="T120" s="11"/>
      <c r="U120" s="11" t="str">
        <f>IF(AND(ROW()-1&lt;=教室申込!$K$5,教室申込!$K$7=0,COUNTA(教室申込!$C$4)=1),INDEX(展開用!$F$2:$F$601,MATCH(ROW()-1,展開用!$E$2:$E$601,0)),"")</f>
        <v/>
      </c>
      <c r="V120" s="11"/>
      <c r="W120" s="11"/>
      <c r="X120" s="11"/>
      <c r="Y120" s="11"/>
      <c r="Z120" s="11"/>
      <c r="AA120" s="11" t="str">
        <f>IF($AW120="","",IF(INDEX(教室申込!$J$1:$J$212,$AW120)="","",INDEX(教室申込!$J$1:$J$212,$AW120)))</f>
        <v/>
      </c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" t="str">
        <f>IF(AND(ROW()-1&lt;=教室申込!$K$5,教室申込!$K$7=0,COUNTA(教室申込!$C$4)=1),INDEX(展開用!$B$2:$B$601,MATCH(ROW()-1,展開用!$E$2:$E$601,0)),"")</f>
        <v/>
      </c>
      <c r="AX120" s="1"/>
      <c r="AY120" s="1"/>
    </row>
    <row r="121" spans="1:51" ht="24" customHeight="1">
      <c r="A121" s="11"/>
      <c r="B121" s="11"/>
      <c r="C121" s="11"/>
      <c r="D121" s="11"/>
      <c r="E121" s="11"/>
      <c r="F121" s="11"/>
      <c r="G121" s="11"/>
      <c r="H121" s="11" t="str">
        <f>IF(AND(ROW()-1&lt;=教室申込!$K$5,教室申込!$K$7=0,COUNTA(教室申込!$C$4)=1),INDEX(展開用!$C$2:$C$601,MATCH(ROW()-1,展開用!$E$2:$E$601,0)),"")</f>
        <v/>
      </c>
      <c r="I121" s="11" t="str">
        <f>IF(AND(ROW()-1&lt;=教室申込!$K$5,教室申込!$K$7=0,COUNTA(教室申込!$C$4)=1),INDEX(展開用!$D$2:$D$601,MATCH(ROW()-1,展開用!$E$2:$E$601,0)),"")</f>
        <v/>
      </c>
      <c r="J121" s="11"/>
      <c r="K121" s="11"/>
      <c r="L121" s="11" t="str">
        <f>IF(AND(ROW()-1&lt;=教室申込!$K$5,教室申込!$K$7=0,COUNTA(教室申込!$C$4)=1),INDEX(教室申込!$B$1:$B$212,$AW121),"")</f>
        <v/>
      </c>
      <c r="M121" s="11" t="str">
        <f>IF(AND(ROW()-1&lt;=教室申込!$K$5,教室申込!$K$7=0,COUNTA(教室申込!$C$4)=1),INDEX(教室申込!$C$1:$C$212,$AW121),"")</f>
        <v/>
      </c>
      <c r="N121" s="11"/>
      <c r="O121" s="12" t="str">
        <f>IF(AND(ROW()-1&lt;=教室申込!$K$5,教室申込!$K$7=0,COUNTA(教室申込!$C$4)=1),INDEX(展開用!$G$2:$G$601,MATCH(ROW()-1,展開用!$E$2:$E$601,0)),"")</f>
        <v/>
      </c>
      <c r="P121" s="11"/>
      <c r="Q121" s="11"/>
      <c r="R121" s="11"/>
      <c r="S121" s="11"/>
      <c r="T121" s="11"/>
      <c r="U121" s="11" t="str">
        <f>IF(AND(ROW()-1&lt;=教室申込!$K$5,教室申込!$K$7=0,COUNTA(教室申込!$C$4)=1),INDEX(展開用!$F$2:$F$601,MATCH(ROW()-1,展開用!$E$2:$E$601,0)),"")</f>
        <v/>
      </c>
      <c r="V121" s="11"/>
      <c r="W121" s="11"/>
      <c r="X121" s="11"/>
      <c r="Y121" s="11"/>
      <c r="Z121" s="11"/>
      <c r="AA121" s="11" t="str">
        <f>IF($AW121="","",IF(INDEX(教室申込!$J$1:$J$212,$AW121)="","",INDEX(教室申込!$J$1:$J$212,$AW121)))</f>
        <v/>
      </c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" t="str">
        <f>IF(AND(ROW()-1&lt;=教室申込!$K$5,教室申込!$K$7=0,COUNTA(教室申込!$C$4)=1),INDEX(展開用!$B$2:$B$601,MATCH(ROW()-1,展開用!$E$2:$E$601,0)),"")</f>
        <v/>
      </c>
      <c r="AX121" s="1"/>
      <c r="AY121" s="1"/>
    </row>
    <row r="122" spans="1:51" ht="24" customHeight="1">
      <c r="A122" s="11"/>
      <c r="B122" s="11"/>
      <c r="C122" s="11"/>
      <c r="D122" s="11"/>
      <c r="E122" s="11"/>
      <c r="F122" s="11"/>
      <c r="G122" s="11"/>
      <c r="H122" s="11" t="str">
        <f>IF(AND(ROW()-1&lt;=教室申込!$K$5,教室申込!$K$7=0,COUNTA(教室申込!$C$4)=1),INDEX(展開用!$C$2:$C$601,MATCH(ROW()-1,展開用!$E$2:$E$601,0)),"")</f>
        <v/>
      </c>
      <c r="I122" s="11" t="str">
        <f>IF(AND(ROW()-1&lt;=教室申込!$K$5,教室申込!$K$7=0,COUNTA(教室申込!$C$4)=1),INDEX(展開用!$D$2:$D$601,MATCH(ROW()-1,展開用!$E$2:$E$601,0)),"")</f>
        <v/>
      </c>
      <c r="J122" s="11"/>
      <c r="K122" s="11"/>
      <c r="L122" s="11" t="str">
        <f>IF(AND(ROW()-1&lt;=教室申込!$K$5,教室申込!$K$7=0,COUNTA(教室申込!$C$4)=1),INDEX(教室申込!$B$1:$B$212,$AW122),"")</f>
        <v/>
      </c>
      <c r="M122" s="11" t="str">
        <f>IF(AND(ROW()-1&lt;=教室申込!$K$5,教室申込!$K$7=0,COUNTA(教室申込!$C$4)=1),INDEX(教室申込!$C$1:$C$212,$AW122),"")</f>
        <v/>
      </c>
      <c r="N122" s="11"/>
      <c r="O122" s="12" t="str">
        <f>IF(AND(ROW()-1&lt;=教室申込!$K$5,教室申込!$K$7=0,COUNTA(教室申込!$C$4)=1),INDEX(展開用!$G$2:$G$601,MATCH(ROW()-1,展開用!$E$2:$E$601,0)),"")</f>
        <v/>
      </c>
      <c r="P122" s="11"/>
      <c r="Q122" s="11"/>
      <c r="R122" s="11"/>
      <c r="S122" s="11"/>
      <c r="T122" s="11"/>
      <c r="U122" s="11" t="str">
        <f>IF(AND(ROW()-1&lt;=教室申込!$K$5,教室申込!$K$7=0,COUNTA(教室申込!$C$4)=1),INDEX(展開用!$F$2:$F$601,MATCH(ROW()-1,展開用!$E$2:$E$601,0)),"")</f>
        <v/>
      </c>
      <c r="V122" s="11"/>
      <c r="W122" s="11"/>
      <c r="X122" s="11"/>
      <c r="Y122" s="11"/>
      <c r="Z122" s="11"/>
      <c r="AA122" s="11" t="str">
        <f>IF($AW122="","",IF(INDEX(教室申込!$J$1:$J$212,$AW122)="","",INDEX(教室申込!$J$1:$J$212,$AW122)))</f>
        <v/>
      </c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" t="str">
        <f>IF(AND(ROW()-1&lt;=教室申込!$K$5,教室申込!$K$7=0,COUNTA(教室申込!$C$4)=1),INDEX(展開用!$B$2:$B$601,MATCH(ROW()-1,展開用!$E$2:$E$601,0)),"")</f>
        <v/>
      </c>
      <c r="AX122" s="1"/>
      <c r="AY122" s="1"/>
    </row>
    <row r="123" spans="1:51" ht="24" customHeight="1">
      <c r="A123" s="11"/>
      <c r="B123" s="11"/>
      <c r="C123" s="11"/>
      <c r="D123" s="11"/>
      <c r="E123" s="11"/>
      <c r="F123" s="11"/>
      <c r="G123" s="11"/>
      <c r="H123" s="11" t="str">
        <f>IF(AND(ROW()-1&lt;=教室申込!$K$5,教室申込!$K$7=0,COUNTA(教室申込!$C$4)=1),INDEX(展開用!$C$2:$C$601,MATCH(ROW()-1,展開用!$E$2:$E$601,0)),"")</f>
        <v/>
      </c>
      <c r="I123" s="11" t="str">
        <f>IF(AND(ROW()-1&lt;=教室申込!$K$5,教室申込!$K$7=0,COUNTA(教室申込!$C$4)=1),INDEX(展開用!$D$2:$D$601,MATCH(ROW()-1,展開用!$E$2:$E$601,0)),"")</f>
        <v/>
      </c>
      <c r="J123" s="11"/>
      <c r="K123" s="11"/>
      <c r="L123" s="11" t="str">
        <f>IF(AND(ROW()-1&lt;=教室申込!$K$5,教室申込!$K$7=0,COUNTA(教室申込!$C$4)=1),INDEX(教室申込!$B$1:$B$212,$AW123),"")</f>
        <v/>
      </c>
      <c r="M123" s="11" t="str">
        <f>IF(AND(ROW()-1&lt;=教室申込!$K$5,教室申込!$K$7=0,COUNTA(教室申込!$C$4)=1),INDEX(教室申込!$C$1:$C$212,$AW123),"")</f>
        <v/>
      </c>
      <c r="N123" s="11"/>
      <c r="O123" s="12" t="str">
        <f>IF(AND(ROW()-1&lt;=教室申込!$K$5,教室申込!$K$7=0,COUNTA(教室申込!$C$4)=1),INDEX(展開用!$G$2:$G$601,MATCH(ROW()-1,展開用!$E$2:$E$601,0)),"")</f>
        <v/>
      </c>
      <c r="P123" s="11"/>
      <c r="Q123" s="11"/>
      <c r="R123" s="11"/>
      <c r="S123" s="11"/>
      <c r="T123" s="11"/>
      <c r="U123" s="11" t="str">
        <f>IF(AND(ROW()-1&lt;=教室申込!$K$5,教室申込!$K$7=0,COUNTA(教室申込!$C$4)=1),INDEX(展開用!$F$2:$F$601,MATCH(ROW()-1,展開用!$E$2:$E$601,0)),"")</f>
        <v/>
      </c>
      <c r="V123" s="11"/>
      <c r="W123" s="11"/>
      <c r="X123" s="11"/>
      <c r="Y123" s="11"/>
      <c r="Z123" s="11"/>
      <c r="AA123" s="11" t="str">
        <f>IF($AW123="","",IF(INDEX(教室申込!$J$1:$J$212,$AW123)="","",INDEX(教室申込!$J$1:$J$212,$AW123)))</f>
        <v/>
      </c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" t="str">
        <f>IF(AND(ROW()-1&lt;=教室申込!$K$5,教室申込!$K$7=0,COUNTA(教室申込!$C$4)=1),INDEX(展開用!$B$2:$B$601,MATCH(ROW()-1,展開用!$E$2:$E$601,0)),"")</f>
        <v/>
      </c>
      <c r="AX123" s="1"/>
      <c r="AY123" s="1"/>
    </row>
    <row r="124" spans="1:51" ht="24" customHeight="1">
      <c r="A124" s="11"/>
      <c r="B124" s="11"/>
      <c r="C124" s="11"/>
      <c r="D124" s="11"/>
      <c r="E124" s="11"/>
      <c r="F124" s="11"/>
      <c r="G124" s="11"/>
      <c r="H124" s="11" t="str">
        <f>IF(AND(ROW()-1&lt;=教室申込!$K$5,教室申込!$K$7=0,COUNTA(教室申込!$C$4)=1),INDEX(展開用!$C$2:$C$601,MATCH(ROW()-1,展開用!$E$2:$E$601,0)),"")</f>
        <v/>
      </c>
      <c r="I124" s="11" t="str">
        <f>IF(AND(ROW()-1&lt;=教室申込!$K$5,教室申込!$K$7=0,COUNTA(教室申込!$C$4)=1),INDEX(展開用!$D$2:$D$601,MATCH(ROW()-1,展開用!$E$2:$E$601,0)),"")</f>
        <v/>
      </c>
      <c r="J124" s="11"/>
      <c r="K124" s="11"/>
      <c r="L124" s="11" t="str">
        <f>IF(AND(ROW()-1&lt;=教室申込!$K$5,教室申込!$K$7=0,COUNTA(教室申込!$C$4)=1),INDEX(教室申込!$B$1:$B$212,$AW124),"")</f>
        <v/>
      </c>
      <c r="M124" s="11" t="str">
        <f>IF(AND(ROW()-1&lt;=教室申込!$K$5,教室申込!$K$7=0,COUNTA(教室申込!$C$4)=1),INDEX(教室申込!$C$1:$C$212,$AW124),"")</f>
        <v/>
      </c>
      <c r="N124" s="11"/>
      <c r="O124" s="12" t="str">
        <f>IF(AND(ROW()-1&lt;=教室申込!$K$5,教室申込!$K$7=0,COUNTA(教室申込!$C$4)=1),INDEX(展開用!$G$2:$G$601,MATCH(ROW()-1,展開用!$E$2:$E$601,0)),"")</f>
        <v/>
      </c>
      <c r="P124" s="11"/>
      <c r="Q124" s="11"/>
      <c r="R124" s="11"/>
      <c r="S124" s="11"/>
      <c r="T124" s="11"/>
      <c r="U124" s="11" t="str">
        <f>IF(AND(ROW()-1&lt;=教室申込!$K$5,教室申込!$K$7=0,COUNTA(教室申込!$C$4)=1),INDEX(展開用!$F$2:$F$601,MATCH(ROW()-1,展開用!$E$2:$E$601,0)),"")</f>
        <v/>
      </c>
      <c r="V124" s="11"/>
      <c r="W124" s="11"/>
      <c r="X124" s="11"/>
      <c r="Y124" s="11"/>
      <c r="Z124" s="11"/>
      <c r="AA124" s="11" t="str">
        <f>IF($AW124="","",IF(INDEX(教室申込!$J$1:$J$212,$AW124)="","",INDEX(教室申込!$J$1:$J$212,$AW124)))</f>
        <v/>
      </c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" t="str">
        <f>IF(AND(ROW()-1&lt;=教室申込!$K$5,教室申込!$K$7=0,COUNTA(教室申込!$C$4)=1),INDEX(展開用!$B$2:$B$601,MATCH(ROW()-1,展開用!$E$2:$E$601,0)),"")</f>
        <v/>
      </c>
      <c r="AX124" s="1"/>
      <c r="AY124" s="1"/>
    </row>
    <row r="125" spans="1:51" ht="24" customHeight="1">
      <c r="A125" s="11"/>
      <c r="B125" s="11"/>
      <c r="C125" s="11"/>
      <c r="D125" s="11"/>
      <c r="E125" s="11"/>
      <c r="F125" s="11"/>
      <c r="G125" s="11"/>
      <c r="H125" s="11" t="str">
        <f>IF(AND(ROW()-1&lt;=教室申込!$K$5,教室申込!$K$7=0,COUNTA(教室申込!$C$4)=1),INDEX(展開用!$C$2:$C$601,MATCH(ROW()-1,展開用!$E$2:$E$601,0)),"")</f>
        <v/>
      </c>
      <c r="I125" s="11" t="str">
        <f>IF(AND(ROW()-1&lt;=教室申込!$K$5,教室申込!$K$7=0,COUNTA(教室申込!$C$4)=1),INDEX(展開用!$D$2:$D$601,MATCH(ROW()-1,展開用!$E$2:$E$601,0)),"")</f>
        <v/>
      </c>
      <c r="J125" s="11"/>
      <c r="K125" s="11"/>
      <c r="L125" s="11" t="str">
        <f>IF(AND(ROW()-1&lt;=教室申込!$K$5,教室申込!$K$7=0,COUNTA(教室申込!$C$4)=1),INDEX(教室申込!$B$1:$B$212,$AW125),"")</f>
        <v/>
      </c>
      <c r="M125" s="11" t="str">
        <f>IF(AND(ROW()-1&lt;=教室申込!$K$5,教室申込!$K$7=0,COUNTA(教室申込!$C$4)=1),INDEX(教室申込!$C$1:$C$212,$AW125),"")</f>
        <v/>
      </c>
      <c r="N125" s="11"/>
      <c r="O125" s="12" t="str">
        <f>IF(AND(ROW()-1&lt;=教室申込!$K$5,教室申込!$K$7=0,COUNTA(教室申込!$C$4)=1),INDEX(展開用!$G$2:$G$601,MATCH(ROW()-1,展開用!$E$2:$E$601,0)),"")</f>
        <v/>
      </c>
      <c r="P125" s="11"/>
      <c r="Q125" s="11"/>
      <c r="R125" s="11"/>
      <c r="S125" s="11"/>
      <c r="T125" s="11"/>
      <c r="U125" s="11" t="str">
        <f>IF(AND(ROW()-1&lt;=教室申込!$K$5,教室申込!$K$7=0,COUNTA(教室申込!$C$4)=1),INDEX(展開用!$F$2:$F$601,MATCH(ROW()-1,展開用!$E$2:$E$601,0)),"")</f>
        <v/>
      </c>
      <c r="V125" s="11"/>
      <c r="W125" s="11"/>
      <c r="X125" s="11"/>
      <c r="Y125" s="11"/>
      <c r="Z125" s="11"/>
      <c r="AA125" s="11" t="str">
        <f>IF($AW125="","",IF(INDEX(教室申込!$J$1:$J$212,$AW125)="","",INDEX(教室申込!$J$1:$J$212,$AW125)))</f>
        <v/>
      </c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" t="str">
        <f>IF(AND(ROW()-1&lt;=教室申込!$K$5,教室申込!$K$7=0,COUNTA(教室申込!$C$4)=1),INDEX(展開用!$B$2:$B$601,MATCH(ROW()-1,展開用!$E$2:$E$601,0)),"")</f>
        <v/>
      </c>
      <c r="AX125" s="1"/>
      <c r="AY125" s="1"/>
    </row>
    <row r="126" spans="1:51" ht="24" customHeight="1">
      <c r="A126" s="11"/>
      <c r="B126" s="11"/>
      <c r="C126" s="11"/>
      <c r="D126" s="11"/>
      <c r="E126" s="11"/>
      <c r="F126" s="11"/>
      <c r="G126" s="11"/>
      <c r="H126" s="11" t="str">
        <f>IF(AND(ROW()-1&lt;=教室申込!$K$5,教室申込!$K$7=0,COUNTA(教室申込!$C$4)=1),INDEX(展開用!$C$2:$C$601,MATCH(ROW()-1,展開用!$E$2:$E$601,0)),"")</f>
        <v/>
      </c>
      <c r="I126" s="11" t="str">
        <f>IF(AND(ROW()-1&lt;=教室申込!$K$5,教室申込!$K$7=0,COUNTA(教室申込!$C$4)=1),INDEX(展開用!$D$2:$D$601,MATCH(ROW()-1,展開用!$E$2:$E$601,0)),"")</f>
        <v/>
      </c>
      <c r="J126" s="11"/>
      <c r="K126" s="11"/>
      <c r="L126" s="11" t="str">
        <f>IF(AND(ROW()-1&lt;=教室申込!$K$5,教室申込!$K$7=0,COUNTA(教室申込!$C$4)=1),INDEX(教室申込!$B$1:$B$212,$AW126),"")</f>
        <v/>
      </c>
      <c r="M126" s="11" t="str">
        <f>IF(AND(ROW()-1&lt;=教室申込!$K$5,教室申込!$K$7=0,COUNTA(教室申込!$C$4)=1),INDEX(教室申込!$C$1:$C$212,$AW126),"")</f>
        <v/>
      </c>
      <c r="N126" s="11"/>
      <c r="O126" s="12" t="str">
        <f>IF(AND(ROW()-1&lt;=教室申込!$K$5,教室申込!$K$7=0,COUNTA(教室申込!$C$4)=1),INDEX(展開用!$G$2:$G$601,MATCH(ROW()-1,展開用!$E$2:$E$601,0)),"")</f>
        <v/>
      </c>
      <c r="P126" s="11"/>
      <c r="Q126" s="11"/>
      <c r="R126" s="11"/>
      <c r="S126" s="11"/>
      <c r="T126" s="11"/>
      <c r="U126" s="11" t="str">
        <f>IF(AND(ROW()-1&lt;=教室申込!$K$5,教室申込!$K$7=0,COUNTA(教室申込!$C$4)=1),INDEX(展開用!$F$2:$F$601,MATCH(ROW()-1,展開用!$E$2:$E$601,0)),"")</f>
        <v/>
      </c>
      <c r="V126" s="11"/>
      <c r="W126" s="11"/>
      <c r="X126" s="11"/>
      <c r="Y126" s="11"/>
      <c r="Z126" s="11"/>
      <c r="AA126" s="11" t="str">
        <f>IF($AW126="","",IF(INDEX(教室申込!$J$1:$J$212,$AW126)="","",INDEX(教室申込!$J$1:$J$212,$AW126)))</f>
        <v/>
      </c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" t="str">
        <f>IF(AND(ROW()-1&lt;=教室申込!$K$5,教室申込!$K$7=0,COUNTA(教室申込!$C$4)=1),INDEX(展開用!$B$2:$B$601,MATCH(ROW()-1,展開用!$E$2:$E$601,0)),"")</f>
        <v/>
      </c>
      <c r="AX126" s="1"/>
      <c r="AY126" s="1"/>
    </row>
    <row r="127" spans="1:51" ht="24" customHeight="1">
      <c r="A127" s="11"/>
      <c r="B127" s="11"/>
      <c r="C127" s="11"/>
      <c r="D127" s="11"/>
      <c r="E127" s="11"/>
      <c r="F127" s="11"/>
      <c r="G127" s="11"/>
      <c r="H127" s="11" t="str">
        <f>IF(AND(ROW()-1&lt;=教室申込!$K$5,教室申込!$K$7=0,COUNTA(教室申込!$C$4)=1),INDEX(展開用!$C$2:$C$601,MATCH(ROW()-1,展開用!$E$2:$E$601,0)),"")</f>
        <v/>
      </c>
      <c r="I127" s="11" t="str">
        <f>IF(AND(ROW()-1&lt;=教室申込!$K$5,教室申込!$K$7=0,COUNTA(教室申込!$C$4)=1),INDEX(展開用!$D$2:$D$601,MATCH(ROW()-1,展開用!$E$2:$E$601,0)),"")</f>
        <v/>
      </c>
      <c r="J127" s="11"/>
      <c r="K127" s="11"/>
      <c r="L127" s="11" t="str">
        <f>IF(AND(ROW()-1&lt;=教室申込!$K$5,教室申込!$K$7=0,COUNTA(教室申込!$C$4)=1),INDEX(教室申込!$B$1:$B$212,$AW127),"")</f>
        <v/>
      </c>
      <c r="M127" s="11" t="str">
        <f>IF(AND(ROW()-1&lt;=教室申込!$K$5,教室申込!$K$7=0,COUNTA(教室申込!$C$4)=1),INDEX(教室申込!$C$1:$C$212,$AW127),"")</f>
        <v/>
      </c>
      <c r="N127" s="11"/>
      <c r="O127" s="12" t="str">
        <f>IF(AND(ROW()-1&lt;=教室申込!$K$5,教室申込!$K$7=0,COUNTA(教室申込!$C$4)=1),INDEX(展開用!$G$2:$G$601,MATCH(ROW()-1,展開用!$E$2:$E$601,0)),"")</f>
        <v/>
      </c>
      <c r="P127" s="11"/>
      <c r="Q127" s="11"/>
      <c r="R127" s="11"/>
      <c r="S127" s="11"/>
      <c r="T127" s="11"/>
      <c r="U127" s="11" t="str">
        <f>IF(AND(ROW()-1&lt;=教室申込!$K$5,教室申込!$K$7=0,COUNTA(教室申込!$C$4)=1),INDEX(展開用!$F$2:$F$601,MATCH(ROW()-1,展開用!$E$2:$E$601,0)),"")</f>
        <v/>
      </c>
      <c r="V127" s="11"/>
      <c r="W127" s="11"/>
      <c r="X127" s="11"/>
      <c r="Y127" s="11"/>
      <c r="Z127" s="11"/>
      <c r="AA127" s="11" t="str">
        <f>IF($AW127="","",IF(INDEX(教室申込!$J$1:$J$212,$AW127)="","",INDEX(教室申込!$J$1:$J$212,$AW127)))</f>
        <v/>
      </c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" t="str">
        <f>IF(AND(ROW()-1&lt;=教室申込!$K$5,教室申込!$K$7=0,COUNTA(教室申込!$C$4)=1),INDEX(展開用!$B$2:$B$601,MATCH(ROW()-1,展開用!$E$2:$E$601,0)),"")</f>
        <v/>
      </c>
      <c r="AX127" s="1"/>
      <c r="AY127" s="1"/>
    </row>
    <row r="128" spans="1:51" ht="24" customHeight="1">
      <c r="A128" s="11"/>
      <c r="B128" s="11"/>
      <c r="C128" s="11"/>
      <c r="D128" s="11"/>
      <c r="E128" s="11"/>
      <c r="F128" s="11"/>
      <c r="G128" s="11"/>
      <c r="H128" s="11" t="str">
        <f>IF(AND(ROW()-1&lt;=教室申込!$K$5,教室申込!$K$7=0,COUNTA(教室申込!$C$4)=1),INDEX(展開用!$C$2:$C$601,MATCH(ROW()-1,展開用!$E$2:$E$601,0)),"")</f>
        <v/>
      </c>
      <c r="I128" s="11" t="str">
        <f>IF(AND(ROW()-1&lt;=教室申込!$K$5,教室申込!$K$7=0,COUNTA(教室申込!$C$4)=1),INDEX(展開用!$D$2:$D$601,MATCH(ROW()-1,展開用!$E$2:$E$601,0)),"")</f>
        <v/>
      </c>
      <c r="J128" s="11"/>
      <c r="K128" s="11"/>
      <c r="L128" s="11" t="str">
        <f>IF(AND(ROW()-1&lt;=教室申込!$K$5,教室申込!$K$7=0,COUNTA(教室申込!$C$4)=1),INDEX(教室申込!$B$1:$B$212,$AW128),"")</f>
        <v/>
      </c>
      <c r="M128" s="11" t="str">
        <f>IF(AND(ROW()-1&lt;=教室申込!$K$5,教室申込!$K$7=0,COUNTA(教室申込!$C$4)=1),INDEX(教室申込!$C$1:$C$212,$AW128),"")</f>
        <v/>
      </c>
      <c r="N128" s="11"/>
      <c r="O128" s="12" t="str">
        <f>IF(AND(ROW()-1&lt;=教室申込!$K$5,教室申込!$K$7=0,COUNTA(教室申込!$C$4)=1),INDEX(展開用!$G$2:$G$601,MATCH(ROW()-1,展開用!$E$2:$E$601,0)),"")</f>
        <v/>
      </c>
      <c r="P128" s="11"/>
      <c r="Q128" s="11"/>
      <c r="R128" s="11"/>
      <c r="S128" s="11"/>
      <c r="T128" s="11"/>
      <c r="U128" s="11" t="str">
        <f>IF(AND(ROW()-1&lt;=教室申込!$K$5,教室申込!$K$7=0,COUNTA(教室申込!$C$4)=1),INDEX(展開用!$F$2:$F$601,MATCH(ROW()-1,展開用!$E$2:$E$601,0)),"")</f>
        <v/>
      </c>
      <c r="V128" s="11"/>
      <c r="W128" s="11"/>
      <c r="X128" s="11"/>
      <c r="Y128" s="11"/>
      <c r="Z128" s="11"/>
      <c r="AA128" s="11" t="str">
        <f>IF($AW128="","",IF(INDEX(教室申込!$J$1:$J$212,$AW128)="","",INDEX(教室申込!$J$1:$J$212,$AW128)))</f>
        <v/>
      </c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" t="str">
        <f>IF(AND(ROW()-1&lt;=教室申込!$K$5,教室申込!$K$7=0,COUNTA(教室申込!$C$4)=1),INDEX(展開用!$B$2:$B$601,MATCH(ROW()-1,展開用!$E$2:$E$601,0)),"")</f>
        <v/>
      </c>
      <c r="AX128" s="1"/>
      <c r="AY128" s="1"/>
    </row>
    <row r="129" spans="1:51" ht="24" customHeight="1">
      <c r="A129" s="11"/>
      <c r="B129" s="11"/>
      <c r="C129" s="11"/>
      <c r="D129" s="11"/>
      <c r="E129" s="11"/>
      <c r="F129" s="11"/>
      <c r="G129" s="11"/>
      <c r="H129" s="11" t="str">
        <f>IF(AND(ROW()-1&lt;=教室申込!$K$5,教室申込!$K$7=0,COUNTA(教室申込!$C$4)=1),INDEX(展開用!$C$2:$C$601,MATCH(ROW()-1,展開用!$E$2:$E$601,0)),"")</f>
        <v/>
      </c>
      <c r="I129" s="11" t="str">
        <f>IF(AND(ROW()-1&lt;=教室申込!$K$5,教室申込!$K$7=0,COUNTA(教室申込!$C$4)=1),INDEX(展開用!$D$2:$D$601,MATCH(ROW()-1,展開用!$E$2:$E$601,0)),"")</f>
        <v/>
      </c>
      <c r="J129" s="11"/>
      <c r="K129" s="11"/>
      <c r="L129" s="11" t="str">
        <f>IF(AND(ROW()-1&lt;=教室申込!$K$5,教室申込!$K$7=0,COUNTA(教室申込!$C$4)=1),INDEX(教室申込!$B$1:$B$212,$AW129),"")</f>
        <v/>
      </c>
      <c r="M129" s="11" t="str">
        <f>IF(AND(ROW()-1&lt;=教室申込!$K$5,教室申込!$K$7=0,COUNTA(教室申込!$C$4)=1),INDEX(教室申込!$C$1:$C$212,$AW129),"")</f>
        <v/>
      </c>
      <c r="N129" s="11"/>
      <c r="O129" s="12" t="str">
        <f>IF(AND(ROW()-1&lt;=教室申込!$K$5,教室申込!$K$7=0,COUNTA(教室申込!$C$4)=1),INDEX(展開用!$G$2:$G$601,MATCH(ROW()-1,展開用!$E$2:$E$601,0)),"")</f>
        <v/>
      </c>
      <c r="P129" s="11"/>
      <c r="Q129" s="11"/>
      <c r="R129" s="11"/>
      <c r="S129" s="11"/>
      <c r="T129" s="11"/>
      <c r="U129" s="11" t="str">
        <f>IF(AND(ROW()-1&lt;=教室申込!$K$5,教室申込!$K$7=0,COUNTA(教室申込!$C$4)=1),INDEX(展開用!$F$2:$F$601,MATCH(ROW()-1,展開用!$E$2:$E$601,0)),"")</f>
        <v/>
      </c>
      <c r="V129" s="11"/>
      <c r="W129" s="11"/>
      <c r="X129" s="11"/>
      <c r="Y129" s="11"/>
      <c r="Z129" s="11"/>
      <c r="AA129" s="11" t="str">
        <f>IF($AW129="","",IF(INDEX(教室申込!$J$1:$J$212,$AW129)="","",INDEX(教室申込!$J$1:$J$212,$AW129)))</f>
        <v/>
      </c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" t="str">
        <f>IF(AND(ROW()-1&lt;=教室申込!$K$5,教室申込!$K$7=0,COUNTA(教室申込!$C$4)=1),INDEX(展開用!$B$2:$B$601,MATCH(ROW()-1,展開用!$E$2:$E$601,0)),"")</f>
        <v/>
      </c>
      <c r="AX129" s="1"/>
      <c r="AY129" s="1"/>
    </row>
    <row r="130" spans="1:51" ht="24" customHeight="1">
      <c r="A130" s="11"/>
      <c r="B130" s="11"/>
      <c r="C130" s="11"/>
      <c r="D130" s="11"/>
      <c r="E130" s="11"/>
      <c r="F130" s="11"/>
      <c r="G130" s="11"/>
      <c r="H130" s="11" t="str">
        <f>IF(AND(ROW()-1&lt;=教室申込!$K$5,教室申込!$K$7=0,COUNTA(教室申込!$C$4)=1),INDEX(展開用!$C$2:$C$601,MATCH(ROW()-1,展開用!$E$2:$E$601,0)),"")</f>
        <v/>
      </c>
      <c r="I130" s="11" t="str">
        <f>IF(AND(ROW()-1&lt;=教室申込!$K$5,教室申込!$K$7=0,COUNTA(教室申込!$C$4)=1),INDEX(展開用!$D$2:$D$601,MATCH(ROW()-1,展開用!$E$2:$E$601,0)),"")</f>
        <v/>
      </c>
      <c r="J130" s="11"/>
      <c r="K130" s="11"/>
      <c r="L130" s="11" t="str">
        <f>IF(AND(ROW()-1&lt;=教室申込!$K$5,教室申込!$K$7=0,COUNTA(教室申込!$C$4)=1),INDEX(教室申込!$B$1:$B$212,$AW130),"")</f>
        <v/>
      </c>
      <c r="M130" s="11" t="str">
        <f>IF(AND(ROW()-1&lt;=教室申込!$K$5,教室申込!$K$7=0,COUNTA(教室申込!$C$4)=1),INDEX(教室申込!$C$1:$C$212,$AW130),"")</f>
        <v/>
      </c>
      <c r="N130" s="11"/>
      <c r="O130" s="12" t="str">
        <f>IF(AND(ROW()-1&lt;=教室申込!$K$5,教室申込!$K$7=0,COUNTA(教室申込!$C$4)=1),INDEX(展開用!$G$2:$G$601,MATCH(ROW()-1,展開用!$E$2:$E$601,0)),"")</f>
        <v/>
      </c>
      <c r="P130" s="11"/>
      <c r="Q130" s="11"/>
      <c r="R130" s="11"/>
      <c r="S130" s="11"/>
      <c r="T130" s="11"/>
      <c r="U130" s="11" t="str">
        <f>IF(AND(ROW()-1&lt;=教室申込!$K$5,教室申込!$K$7=0,COUNTA(教室申込!$C$4)=1),INDEX(展開用!$F$2:$F$601,MATCH(ROW()-1,展開用!$E$2:$E$601,0)),"")</f>
        <v/>
      </c>
      <c r="V130" s="11"/>
      <c r="W130" s="11"/>
      <c r="X130" s="11"/>
      <c r="Y130" s="11"/>
      <c r="Z130" s="11"/>
      <c r="AA130" s="11" t="str">
        <f>IF($AW130="","",IF(INDEX(教室申込!$J$1:$J$212,$AW130)="","",INDEX(教室申込!$J$1:$J$212,$AW130)))</f>
        <v/>
      </c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" t="str">
        <f>IF(AND(ROW()-1&lt;=教室申込!$K$5,教室申込!$K$7=0,COUNTA(教室申込!$C$4)=1),INDEX(展開用!$B$2:$B$601,MATCH(ROW()-1,展開用!$E$2:$E$601,0)),"")</f>
        <v/>
      </c>
      <c r="AX130" s="1"/>
      <c r="AY130" s="1"/>
    </row>
    <row r="131" spans="1:51" ht="24" customHeight="1">
      <c r="A131" s="11"/>
      <c r="B131" s="11"/>
      <c r="C131" s="11"/>
      <c r="D131" s="11"/>
      <c r="E131" s="11"/>
      <c r="F131" s="11"/>
      <c r="G131" s="11"/>
      <c r="H131" s="11" t="str">
        <f>IF(AND(ROW()-1&lt;=教室申込!$K$5,教室申込!$K$7=0,COUNTA(教室申込!$C$4)=1),INDEX(展開用!$C$2:$C$601,MATCH(ROW()-1,展開用!$E$2:$E$601,0)),"")</f>
        <v/>
      </c>
      <c r="I131" s="11" t="str">
        <f>IF(AND(ROW()-1&lt;=教室申込!$K$5,教室申込!$K$7=0,COUNTA(教室申込!$C$4)=1),INDEX(展開用!$D$2:$D$601,MATCH(ROW()-1,展開用!$E$2:$E$601,0)),"")</f>
        <v/>
      </c>
      <c r="J131" s="11"/>
      <c r="K131" s="11"/>
      <c r="L131" s="11" t="str">
        <f>IF(AND(ROW()-1&lt;=教室申込!$K$5,教室申込!$K$7=0,COUNTA(教室申込!$C$4)=1),INDEX(教室申込!$B$1:$B$212,$AW131),"")</f>
        <v/>
      </c>
      <c r="M131" s="11" t="str">
        <f>IF(AND(ROW()-1&lt;=教室申込!$K$5,教室申込!$K$7=0,COUNTA(教室申込!$C$4)=1),INDEX(教室申込!$C$1:$C$212,$AW131),"")</f>
        <v/>
      </c>
      <c r="N131" s="11"/>
      <c r="O131" s="12" t="str">
        <f>IF(AND(ROW()-1&lt;=教室申込!$K$5,教室申込!$K$7=0,COUNTA(教室申込!$C$4)=1),INDEX(展開用!$G$2:$G$601,MATCH(ROW()-1,展開用!$E$2:$E$601,0)),"")</f>
        <v/>
      </c>
      <c r="P131" s="11"/>
      <c r="Q131" s="11"/>
      <c r="R131" s="11"/>
      <c r="S131" s="11"/>
      <c r="T131" s="11"/>
      <c r="U131" s="11" t="str">
        <f>IF(AND(ROW()-1&lt;=教室申込!$K$5,教室申込!$K$7=0,COUNTA(教室申込!$C$4)=1),INDEX(展開用!$F$2:$F$601,MATCH(ROW()-1,展開用!$E$2:$E$601,0)),"")</f>
        <v/>
      </c>
      <c r="V131" s="11"/>
      <c r="W131" s="11"/>
      <c r="X131" s="11"/>
      <c r="Y131" s="11"/>
      <c r="Z131" s="11"/>
      <c r="AA131" s="11" t="str">
        <f>IF($AW131="","",IF(INDEX(教室申込!$J$1:$J$212,$AW131)="","",INDEX(教室申込!$J$1:$J$212,$AW131)))</f>
        <v/>
      </c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" t="str">
        <f>IF(AND(ROW()-1&lt;=教室申込!$K$5,教室申込!$K$7=0,COUNTA(教室申込!$C$4)=1),INDEX(展開用!$B$2:$B$601,MATCH(ROW()-1,展開用!$E$2:$E$601,0)),"")</f>
        <v/>
      </c>
      <c r="AX131" s="1"/>
      <c r="AY131" s="1"/>
    </row>
    <row r="132" spans="1:51" ht="24" customHeight="1">
      <c r="A132" s="11"/>
      <c r="B132" s="11"/>
      <c r="C132" s="11"/>
      <c r="D132" s="11"/>
      <c r="E132" s="11"/>
      <c r="F132" s="11"/>
      <c r="G132" s="11"/>
      <c r="H132" s="11" t="str">
        <f>IF(AND(ROW()-1&lt;=教室申込!$K$5,教室申込!$K$7=0,COUNTA(教室申込!$C$4)=1),INDEX(展開用!$C$2:$C$601,MATCH(ROW()-1,展開用!$E$2:$E$601,0)),"")</f>
        <v/>
      </c>
      <c r="I132" s="11" t="str">
        <f>IF(AND(ROW()-1&lt;=教室申込!$K$5,教室申込!$K$7=0,COUNTA(教室申込!$C$4)=1),INDEX(展開用!$D$2:$D$601,MATCH(ROW()-1,展開用!$E$2:$E$601,0)),"")</f>
        <v/>
      </c>
      <c r="J132" s="11"/>
      <c r="K132" s="11"/>
      <c r="L132" s="11" t="str">
        <f>IF(AND(ROW()-1&lt;=教室申込!$K$5,教室申込!$K$7=0,COUNTA(教室申込!$C$4)=1),INDEX(教室申込!$B$1:$B$212,$AW132),"")</f>
        <v/>
      </c>
      <c r="M132" s="11" t="str">
        <f>IF(AND(ROW()-1&lt;=教室申込!$K$5,教室申込!$K$7=0,COUNTA(教室申込!$C$4)=1),INDEX(教室申込!$C$1:$C$212,$AW132),"")</f>
        <v/>
      </c>
      <c r="N132" s="11"/>
      <c r="O132" s="12" t="str">
        <f>IF(AND(ROW()-1&lt;=教室申込!$K$5,教室申込!$K$7=0,COUNTA(教室申込!$C$4)=1),INDEX(展開用!$G$2:$G$601,MATCH(ROW()-1,展開用!$E$2:$E$601,0)),"")</f>
        <v/>
      </c>
      <c r="P132" s="11"/>
      <c r="Q132" s="11"/>
      <c r="R132" s="11"/>
      <c r="S132" s="11"/>
      <c r="T132" s="11"/>
      <c r="U132" s="11" t="str">
        <f>IF(AND(ROW()-1&lt;=教室申込!$K$5,教室申込!$K$7=0,COUNTA(教室申込!$C$4)=1),INDEX(展開用!$F$2:$F$601,MATCH(ROW()-1,展開用!$E$2:$E$601,0)),"")</f>
        <v/>
      </c>
      <c r="V132" s="11"/>
      <c r="W132" s="11"/>
      <c r="X132" s="11"/>
      <c r="Y132" s="11"/>
      <c r="Z132" s="11"/>
      <c r="AA132" s="11" t="str">
        <f>IF($AW132="","",IF(INDEX(教室申込!$J$1:$J$212,$AW132)="","",INDEX(教室申込!$J$1:$J$212,$AW132)))</f>
        <v/>
      </c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" t="str">
        <f>IF(AND(ROW()-1&lt;=教室申込!$K$5,教室申込!$K$7=0,COUNTA(教室申込!$C$4)=1),INDEX(展開用!$B$2:$B$601,MATCH(ROW()-1,展開用!$E$2:$E$601,0)),"")</f>
        <v/>
      </c>
      <c r="AX132" s="1"/>
      <c r="AY132" s="1"/>
    </row>
    <row r="133" spans="1:51" ht="24" customHeight="1">
      <c r="A133" s="11"/>
      <c r="B133" s="11"/>
      <c r="C133" s="11"/>
      <c r="D133" s="11"/>
      <c r="E133" s="11"/>
      <c r="F133" s="11"/>
      <c r="G133" s="11"/>
      <c r="H133" s="11" t="str">
        <f>IF(AND(ROW()-1&lt;=教室申込!$K$5,教室申込!$K$7=0,COUNTA(教室申込!$C$4)=1),INDEX(展開用!$C$2:$C$601,MATCH(ROW()-1,展開用!$E$2:$E$601,0)),"")</f>
        <v/>
      </c>
      <c r="I133" s="11" t="str">
        <f>IF(AND(ROW()-1&lt;=教室申込!$K$5,教室申込!$K$7=0,COUNTA(教室申込!$C$4)=1),INDEX(展開用!$D$2:$D$601,MATCH(ROW()-1,展開用!$E$2:$E$601,0)),"")</f>
        <v/>
      </c>
      <c r="J133" s="11"/>
      <c r="K133" s="11"/>
      <c r="L133" s="11" t="str">
        <f>IF(AND(ROW()-1&lt;=教室申込!$K$5,教室申込!$K$7=0,COUNTA(教室申込!$C$4)=1),INDEX(教室申込!$B$1:$B$212,$AW133),"")</f>
        <v/>
      </c>
      <c r="M133" s="11" t="str">
        <f>IF(AND(ROW()-1&lt;=教室申込!$K$5,教室申込!$K$7=0,COUNTA(教室申込!$C$4)=1),INDEX(教室申込!$C$1:$C$212,$AW133),"")</f>
        <v/>
      </c>
      <c r="N133" s="11"/>
      <c r="O133" s="12" t="str">
        <f>IF(AND(ROW()-1&lt;=教室申込!$K$5,教室申込!$K$7=0,COUNTA(教室申込!$C$4)=1),INDEX(展開用!$G$2:$G$601,MATCH(ROW()-1,展開用!$E$2:$E$601,0)),"")</f>
        <v/>
      </c>
      <c r="P133" s="11"/>
      <c r="Q133" s="11"/>
      <c r="R133" s="11"/>
      <c r="S133" s="11"/>
      <c r="T133" s="11"/>
      <c r="U133" s="11" t="str">
        <f>IF(AND(ROW()-1&lt;=教室申込!$K$5,教室申込!$K$7=0,COUNTA(教室申込!$C$4)=1),INDEX(展開用!$F$2:$F$601,MATCH(ROW()-1,展開用!$E$2:$E$601,0)),"")</f>
        <v/>
      </c>
      <c r="V133" s="11"/>
      <c r="W133" s="11"/>
      <c r="X133" s="11"/>
      <c r="Y133" s="11"/>
      <c r="Z133" s="11"/>
      <c r="AA133" s="11" t="str">
        <f>IF($AW133="","",IF(INDEX(教室申込!$J$1:$J$212,$AW133)="","",INDEX(教室申込!$J$1:$J$212,$AW133)))</f>
        <v/>
      </c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" t="str">
        <f>IF(AND(ROW()-1&lt;=教室申込!$K$5,教室申込!$K$7=0,COUNTA(教室申込!$C$4)=1),INDEX(展開用!$B$2:$B$601,MATCH(ROW()-1,展開用!$E$2:$E$601,0)),"")</f>
        <v/>
      </c>
      <c r="AX133" s="1"/>
      <c r="AY133" s="1"/>
    </row>
    <row r="134" spans="1:51" ht="24" customHeight="1">
      <c r="A134" s="11"/>
      <c r="B134" s="11"/>
      <c r="C134" s="11"/>
      <c r="D134" s="11"/>
      <c r="E134" s="11"/>
      <c r="F134" s="11"/>
      <c r="G134" s="11"/>
      <c r="H134" s="11" t="str">
        <f>IF(AND(ROW()-1&lt;=教室申込!$K$5,教室申込!$K$7=0,COUNTA(教室申込!$C$4)=1),INDEX(展開用!$C$2:$C$601,MATCH(ROW()-1,展開用!$E$2:$E$601,0)),"")</f>
        <v/>
      </c>
      <c r="I134" s="11" t="str">
        <f>IF(AND(ROW()-1&lt;=教室申込!$K$5,教室申込!$K$7=0,COUNTA(教室申込!$C$4)=1),INDEX(展開用!$D$2:$D$601,MATCH(ROW()-1,展開用!$E$2:$E$601,0)),"")</f>
        <v/>
      </c>
      <c r="J134" s="11"/>
      <c r="K134" s="11"/>
      <c r="L134" s="11" t="str">
        <f>IF(AND(ROW()-1&lt;=教室申込!$K$5,教室申込!$K$7=0,COUNTA(教室申込!$C$4)=1),INDEX(教室申込!$B$1:$B$212,$AW134),"")</f>
        <v/>
      </c>
      <c r="M134" s="11" t="str">
        <f>IF(AND(ROW()-1&lt;=教室申込!$K$5,教室申込!$K$7=0,COUNTA(教室申込!$C$4)=1),INDEX(教室申込!$C$1:$C$212,$AW134),"")</f>
        <v/>
      </c>
      <c r="N134" s="11"/>
      <c r="O134" s="12" t="str">
        <f>IF(AND(ROW()-1&lt;=教室申込!$K$5,教室申込!$K$7=0,COUNTA(教室申込!$C$4)=1),INDEX(展開用!$G$2:$G$601,MATCH(ROW()-1,展開用!$E$2:$E$601,0)),"")</f>
        <v/>
      </c>
      <c r="P134" s="11"/>
      <c r="Q134" s="11"/>
      <c r="R134" s="11"/>
      <c r="S134" s="11"/>
      <c r="T134" s="11"/>
      <c r="U134" s="11" t="str">
        <f>IF(AND(ROW()-1&lt;=教室申込!$K$5,教室申込!$K$7=0,COUNTA(教室申込!$C$4)=1),INDEX(展開用!$F$2:$F$601,MATCH(ROW()-1,展開用!$E$2:$E$601,0)),"")</f>
        <v/>
      </c>
      <c r="V134" s="11"/>
      <c r="W134" s="11"/>
      <c r="X134" s="11"/>
      <c r="Y134" s="11"/>
      <c r="Z134" s="11"/>
      <c r="AA134" s="11" t="str">
        <f>IF($AW134="","",IF(INDEX(教室申込!$J$1:$J$212,$AW134)="","",INDEX(教室申込!$J$1:$J$212,$AW134)))</f>
        <v/>
      </c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" t="str">
        <f>IF(AND(ROW()-1&lt;=教室申込!$K$5,教室申込!$K$7=0,COUNTA(教室申込!$C$4)=1),INDEX(展開用!$B$2:$B$601,MATCH(ROW()-1,展開用!$E$2:$E$601,0)),"")</f>
        <v/>
      </c>
      <c r="AX134" s="1"/>
      <c r="AY134" s="1"/>
    </row>
    <row r="135" spans="1:51" ht="24" customHeight="1">
      <c r="A135" s="11"/>
      <c r="B135" s="11"/>
      <c r="C135" s="11"/>
      <c r="D135" s="11"/>
      <c r="E135" s="11"/>
      <c r="F135" s="11"/>
      <c r="G135" s="11"/>
      <c r="H135" s="11" t="str">
        <f>IF(AND(ROW()-1&lt;=教室申込!$K$5,教室申込!$K$7=0,COUNTA(教室申込!$C$4)=1),INDEX(展開用!$C$2:$C$601,MATCH(ROW()-1,展開用!$E$2:$E$601,0)),"")</f>
        <v/>
      </c>
      <c r="I135" s="11" t="str">
        <f>IF(AND(ROW()-1&lt;=教室申込!$K$5,教室申込!$K$7=0,COUNTA(教室申込!$C$4)=1),INDEX(展開用!$D$2:$D$601,MATCH(ROW()-1,展開用!$E$2:$E$601,0)),"")</f>
        <v/>
      </c>
      <c r="J135" s="11"/>
      <c r="K135" s="11"/>
      <c r="L135" s="11" t="str">
        <f>IF(AND(ROW()-1&lt;=教室申込!$K$5,教室申込!$K$7=0,COUNTA(教室申込!$C$4)=1),INDEX(教室申込!$B$1:$B$212,$AW135),"")</f>
        <v/>
      </c>
      <c r="M135" s="11" t="str">
        <f>IF(AND(ROW()-1&lt;=教室申込!$K$5,教室申込!$K$7=0,COUNTA(教室申込!$C$4)=1),INDEX(教室申込!$C$1:$C$212,$AW135),"")</f>
        <v/>
      </c>
      <c r="N135" s="11"/>
      <c r="O135" s="12" t="str">
        <f>IF(AND(ROW()-1&lt;=教室申込!$K$5,教室申込!$K$7=0,COUNTA(教室申込!$C$4)=1),INDEX(展開用!$G$2:$G$601,MATCH(ROW()-1,展開用!$E$2:$E$601,0)),"")</f>
        <v/>
      </c>
      <c r="P135" s="11"/>
      <c r="Q135" s="11"/>
      <c r="R135" s="11"/>
      <c r="S135" s="11"/>
      <c r="T135" s="11"/>
      <c r="U135" s="11" t="str">
        <f>IF(AND(ROW()-1&lt;=教室申込!$K$5,教室申込!$K$7=0,COUNTA(教室申込!$C$4)=1),INDEX(展開用!$F$2:$F$601,MATCH(ROW()-1,展開用!$E$2:$E$601,0)),"")</f>
        <v/>
      </c>
      <c r="V135" s="11"/>
      <c r="W135" s="11"/>
      <c r="X135" s="11"/>
      <c r="Y135" s="11"/>
      <c r="Z135" s="11"/>
      <c r="AA135" s="11" t="str">
        <f>IF($AW135="","",IF(INDEX(教室申込!$J$1:$J$212,$AW135)="","",INDEX(教室申込!$J$1:$J$212,$AW135)))</f>
        <v/>
      </c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" t="str">
        <f>IF(AND(ROW()-1&lt;=教室申込!$K$5,教室申込!$K$7=0,COUNTA(教室申込!$C$4)=1),INDEX(展開用!$B$2:$B$601,MATCH(ROW()-1,展開用!$E$2:$E$601,0)),"")</f>
        <v/>
      </c>
      <c r="AX135" s="1"/>
      <c r="AY135" s="1"/>
    </row>
    <row r="136" spans="1:51" ht="24" customHeight="1">
      <c r="A136" s="11"/>
      <c r="B136" s="11"/>
      <c r="C136" s="11"/>
      <c r="D136" s="11"/>
      <c r="E136" s="11"/>
      <c r="F136" s="11"/>
      <c r="G136" s="11"/>
      <c r="H136" s="11" t="str">
        <f>IF(AND(ROW()-1&lt;=教室申込!$K$5,教室申込!$K$7=0,COUNTA(教室申込!$C$4)=1),INDEX(展開用!$C$2:$C$601,MATCH(ROW()-1,展開用!$E$2:$E$601,0)),"")</f>
        <v/>
      </c>
      <c r="I136" s="11" t="str">
        <f>IF(AND(ROW()-1&lt;=教室申込!$K$5,教室申込!$K$7=0,COUNTA(教室申込!$C$4)=1),INDEX(展開用!$D$2:$D$601,MATCH(ROW()-1,展開用!$E$2:$E$601,0)),"")</f>
        <v/>
      </c>
      <c r="J136" s="11"/>
      <c r="K136" s="11"/>
      <c r="L136" s="11" t="str">
        <f>IF(AND(ROW()-1&lt;=教室申込!$K$5,教室申込!$K$7=0,COUNTA(教室申込!$C$4)=1),INDEX(教室申込!$B$1:$B$212,$AW136),"")</f>
        <v/>
      </c>
      <c r="M136" s="11" t="str">
        <f>IF(AND(ROW()-1&lt;=教室申込!$K$5,教室申込!$K$7=0,COUNTA(教室申込!$C$4)=1),INDEX(教室申込!$C$1:$C$212,$AW136),"")</f>
        <v/>
      </c>
      <c r="N136" s="11"/>
      <c r="O136" s="12" t="str">
        <f>IF(AND(ROW()-1&lt;=教室申込!$K$5,教室申込!$K$7=0,COUNTA(教室申込!$C$4)=1),INDEX(展開用!$G$2:$G$601,MATCH(ROW()-1,展開用!$E$2:$E$601,0)),"")</f>
        <v/>
      </c>
      <c r="P136" s="11"/>
      <c r="Q136" s="11"/>
      <c r="R136" s="11"/>
      <c r="S136" s="11"/>
      <c r="T136" s="11"/>
      <c r="U136" s="11" t="str">
        <f>IF(AND(ROW()-1&lt;=教室申込!$K$5,教室申込!$K$7=0,COUNTA(教室申込!$C$4)=1),INDEX(展開用!$F$2:$F$601,MATCH(ROW()-1,展開用!$E$2:$E$601,0)),"")</f>
        <v/>
      </c>
      <c r="V136" s="11"/>
      <c r="W136" s="11"/>
      <c r="X136" s="11"/>
      <c r="Y136" s="11"/>
      <c r="Z136" s="11"/>
      <c r="AA136" s="11" t="str">
        <f>IF($AW136="","",IF(INDEX(教室申込!$J$1:$J$212,$AW136)="","",INDEX(教室申込!$J$1:$J$212,$AW136)))</f>
        <v/>
      </c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" t="str">
        <f>IF(AND(ROW()-1&lt;=教室申込!$K$5,教室申込!$K$7=0,COUNTA(教室申込!$C$4)=1),INDEX(展開用!$B$2:$B$601,MATCH(ROW()-1,展開用!$E$2:$E$601,0)),"")</f>
        <v/>
      </c>
      <c r="AX136" s="1"/>
      <c r="AY136" s="1"/>
    </row>
    <row r="137" spans="1:51" ht="24" customHeight="1">
      <c r="A137" s="11"/>
      <c r="B137" s="11"/>
      <c r="C137" s="11"/>
      <c r="D137" s="11"/>
      <c r="E137" s="11"/>
      <c r="F137" s="11"/>
      <c r="G137" s="11"/>
      <c r="H137" s="11" t="str">
        <f>IF(AND(ROW()-1&lt;=教室申込!$K$5,教室申込!$K$7=0,COUNTA(教室申込!$C$4)=1),INDEX(展開用!$C$2:$C$601,MATCH(ROW()-1,展開用!$E$2:$E$601,0)),"")</f>
        <v/>
      </c>
      <c r="I137" s="11" t="str">
        <f>IF(AND(ROW()-1&lt;=教室申込!$K$5,教室申込!$K$7=0,COUNTA(教室申込!$C$4)=1),INDEX(展開用!$D$2:$D$601,MATCH(ROW()-1,展開用!$E$2:$E$601,0)),"")</f>
        <v/>
      </c>
      <c r="J137" s="11"/>
      <c r="K137" s="11"/>
      <c r="L137" s="11" t="str">
        <f>IF(AND(ROW()-1&lt;=教室申込!$K$5,教室申込!$K$7=0,COUNTA(教室申込!$C$4)=1),INDEX(教室申込!$B$1:$B$212,$AW137),"")</f>
        <v/>
      </c>
      <c r="M137" s="11" t="str">
        <f>IF(AND(ROW()-1&lt;=教室申込!$K$5,教室申込!$K$7=0,COUNTA(教室申込!$C$4)=1),INDEX(教室申込!$C$1:$C$212,$AW137),"")</f>
        <v/>
      </c>
      <c r="N137" s="11"/>
      <c r="O137" s="12" t="str">
        <f>IF(AND(ROW()-1&lt;=教室申込!$K$5,教室申込!$K$7=0,COUNTA(教室申込!$C$4)=1),INDEX(展開用!$G$2:$G$601,MATCH(ROW()-1,展開用!$E$2:$E$601,0)),"")</f>
        <v/>
      </c>
      <c r="P137" s="11"/>
      <c r="Q137" s="11"/>
      <c r="R137" s="11"/>
      <c r="S137" s="11"/>
      <c r="T137" s="11"/>
      <c r="U137" s="11" t="str">
        <f>IF(AND(ROW()-1&lt;=教室申込!$K$5,教室申込!$K$7=0,COUNTA(教室申込!$C$4)=1),INDEX(展開用!$F$2:$F$601,MATCH(ROW()-1,展開用!$E$2:$E$601,0)),"")</f>
        <v/>
      </c>
      <c r="V137" s="11"/>
      <c r="W137" s="11"/>
      <c r="X137" s="11"/>
      <c r="Y137" s="11"/>
      <c r="Z137" s="11"/>
      <c r="AA137" s="11" t="str">
        <f>IF($AW137="","",IF(INDEX(教室申込!$J$1:$J$212,$AW137)="","",INDEX(教室申込!$J$1:$J$212,$AW137)))</f>
        <v/>
      </c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" t="str">
        <f>IF(AND(ROW()-1&lt;=教室申込!$K$5,教室申込!$K$7=0,COUNTA(教室申込!$C$4)=1),INDEX(展開用!$B$2:$B$601,MATCH(ROW()-1,展開用!$E$2:$E$601,0)),"")</f>
        <v/>
      </c>
      <c r="AX137" s="1"/>
      <c r="AY137" s="1"/>
    </row>
    <row r="138" spans="1:51" ht="24" customHeight="1">
      <c r="A138" s="11"/>
      <c r="B138" s="11"/>
      <c r="C138" s="11"/>
      <c r="D138" s="11"/>
      <c r="E138" s="11"/>
      <c r="F138" s="11"/>
      <c r="G138" s="11"/>
      <c r="H138" s="11" t="str">
        <f>IF(AND(ROW()-1&lt;=教室申込!$K$5,教室申込!$K$7=0,COUNTA(教室申込!$C$4)=1),INDEX(展開用!$C$2:$C$601,MATCH(ROW()-1,展開用!$E$2:$E$601,0)),"")</f>
        <v/>
      </c>
      <c r="I138" s="11" t="str">
        <f>IF(AND(ROW()-1&lt;=教室申込!$K$5,教室申込!$K$7=0,COUNTA(教室申込!$C$4)=1),INDEX(展開用!$D$2:$D$601,MATCH(ROW()-1,展開用!$E$2:$E$601,0)),"")</f>
        <v/>
      </c>
      <c r="J138" s="11"/>
      <c r="K138" s="11"/>
      <c r="L138" s="11" t="str">
        <f>IF(AND(ROW()-1&lt;=教室申込!$K$5,教室申込!$K$7=0,COUNTA(教室申込!$C$4)=1),INDEX(教室申込!$B$1:$B$212,$AW138),"")</f>
        <v/>
      </c>
      <c r="M138" s="11" t="str">
        <f>IF(AND(ROW()-1&lt;=教室申込!$K$5,教室申込!$K$7=0,COUNTA(教室申込!$C$4)=1),INDEX(教室申込!$C$1:$C$212,$AW138),"")</f>
        <v/>
      </c>
      <c r="N138" s="11"/>
      <c r="O138" s="12" t="str">
        <f>IF(AND(ROW()-1&lt;=教室申込!$K$5,教室申込!$K$7=0,COUNTA(教室申込!$C$4)=1),INDEX(展開用!$G$2:$G$601,MATCH(ROW()-1,展開用!$E$2:$E$601,0)),"")</f>
        <v/>
      </c>
      <c r="P138" s="11"/>
      <c r="Q138" s="11"/>
      <c r="R138" s="11"/>
      <c r="S138" s="11"/>
      <c r="T138" s="11"/>
      <c r="U138" s="11" t="str">
        <f>IF(AND(ROW()-1&lt;=教室申込!$K$5,教室申込!$K$7=0,COUNTA(教室申込!$C$4)=1),INDEX(展開用!$F$2:$F$601,MATCH(ROW()-1,展開用!$E$2:$E$601,0)),"")</f>
        <v/>
      </c>
      <c r="V138" s="11"/>
      <c r="W138" s="11"/>
      <c r="X138" s="11"/>
      <c r="Y138" s="11"/>
      <c r="Z138" s="11"/>
      <c r="AA138" s="11" t="str">
        <f>IF($AW138="","",IF(INDEX(教室申込!$J$1:$J$212,$AW138)="","",INDEX(教室申込!$J$1:$J$212,$AW138)))</f>
        <v/>
      </c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" t="str">
        <f>IF(AND(ROW()-1&lt;=教室申込!$K$5,教室申込!$K$7=0,COUNTA(教室申込!$C$4)=1),INDEX(展開用!$B$2:$B$601,MATCH(ROW()-1,展開用!$E$2:$E$601,0)),"")</f>
        <v/>
      </c>
      <c r="AX138" s="1"/>
      <c r="AY138" s="1"/>
    </row>
    <row r="139" spans="1:51" ht="24" customHeight="1">
      <c r="A139" s="11"/>
      <c r="B139" s="11"/>
      <c r="C139" s="11"/>
      <c r="D139" s="11"/>
      <c r="E139" s="11"/>
      <c r="F139" s="11"/>
      <c r="G139" s="11"/>
      <c r="H139" s="11" t="str">
        <f>IF(AND(ROW()-1&lt;=教室申込!$K$5,教室申込!$K$7=0,COUNTA(教室申込!$C$4)=1),INDEX(展開用!$C$2:$C$601,MATCH(ROW()-1,展開用!$E$2:$E$601,0)),"")</f>
        <v/>
      </c>
      <c r="I139" s="11" t="str">
        <f>IF(AND(ROW()-1&lt;=教室申込!$K$5,教室申込!$K$7=0,COUNTA(教室申込!$C$4)=1),INDEX(展開用!$D$2:$D$601,MATCH(ROW()-1,展開用!$E$2:$E$601,0)),"")</f>
        <v/>
      </c>
      <c r="J139" s="11"/>
      <c r="K139" s="11"/>
      <c r="L139" s="11" t="str">
        <f>IF(AND(ROW()-1&lt;=教室申込!$K$5,教室申込!$K$7=0,COUNTA(教室申込!$C$4)=1),INDEX(教室申込!$B$1:$B$212,$AW139),"")</f>
        <v/>
      </c>
      <c r="M139" s="11" t="str">
        <f>IF(AND(ROW()-1&lt;=教室申込!$K$5,教室申込!$K$7=0,COUNTA(教室申込!$C$4)=1),INDEX(教室申込!$C$1:$C$212,$AW139),"")</f>
        <v/>
      </c>
      <c r="N139" s="11"/>
      <c r="O139" s="12" t="str">
        <f>IF(AND(ROW()-1&lt;=教室申込!$K$5,教室申込!$K$7=0,COUNTA(教室申込!$C$4)=1),INDEX(展開用!$G$2:$G$601,MATCH(ROW()-1,展開用!$E$2:$E$601,0)),"")</f>
        <v/>
      </c>
      <c r="P139" s="11"/>
      <c r="Q139" s="11"/>
      <c r="R139" s="11"/>
      <c r="S139" s="11"/>
      <c r="T139" s="11"/>
      <c r="U139" s="11" t="str">
        <f>IF(AND(ROW()-1&lt;=教室申込!$K$5,教室申込!$K$7=0,COUNTA(教室申込!$C$4)=1),INDEX(展開用!$F$2:$F$601,MATCH(ROW()-1,展開用!$E$2:$E$601,0)),"")</f>
        <v/>
      </c>
      <c r="V139" s="11"/>
      <c r="W139" s="11"/>
      <c r="X139" s="11"/>
      <c r="Y139" s="11"/>
      <c r="Z139" s="11"/>
      <c r="AA139" s="11" t="str">
        <f>IF($AW139="","",IF(INDEX(教室申込!$J$1:$J$212,$AW139)="","",INDEX(教室申込!$J$1:$J$212,$AW139)))</f>
        <v/>
      </c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" t="str">
        <f>IF(AND(ROW()-1&lt;=教室申込!$K$5,教室申込!$K$7=0,COUNTA(教室申込!$C$4)=1),INDEX(展開用!$B$2:$B$601,MATCH(ROW()-1,展開用!$E$2:$E$601,0)),"")</f>
        <v/>
      </c>
      <c r="AX139" s="1"/>
      <c r="AY139" s="1"/>
    </row>
    <row r="140" spans="1:51" ht="24" customHeight="1">
      <c r="A140" s="11"/>
      <c r="B140" s="11"/>
      <c r="C140" s="11"/>
      <c r="D140" s="11"/>
      <c r="E140" s="11"/>
      <c r="F140" s="11"/>
      <c r="G140" s="11"/>
      <c r="H140" s="11" t="str">
        <f>IF(AND(ROW()-1&lt;=教室申込!$K$5,教室申込!$K$7=0,COUNTA(教室申込!$C$4)=1),INDEX(展開用!$C$2:$C$601,MATCH(ROW()-1,展開用!$E$2:$E$601,0)),"")</f>
        <v/>
      </c>
      <c r="I140" s="11" t="str">
        <f>IF(AND(ROW()-1&lt;=教室申込!$K$5,教室申込!$K$7=0,COUNTA(教室申込!$C$4)=1),INDEX(展開用!$D$2:$D$601,MATCH(ROW()-1,展開用!$E$2:$E$601,0)),"")</f>
        <v/>
      </c>
      <c r="J140" s="11"/>
      <c r="K140" s="11"/>
      <c r="L140" s="11" t="str">
        <f>IF(AND(ROW()-1&lt;=教室申込!$K$5,教室申込!$K$7=0,COUNTA(教室申込!$C$4)=1),INDEX(教室申込!$B$1:$B$212,$AW140),"")</f>
        <v/>
      </c>
      <c r="M140" s="11" t="str">
        <f>IF(AND(ROW()-1&lt;=教室申込!$K$5,教室申込!$K$7=0,COUNTA(教室申込!$C$4)=1),INDEX(教室申込!$C$1:$C$212,$AW140),"")</f>
        <v/>
      </c>
      <c r="N140" s="11"/>
      <c r="O140" s="12" t="str">
        <f>IF(AND(ROW()-1&lt;=教室申込!$K$5,教室申込!$K$7=0,COUNTA(教室申込!$C$4)=1),INDEX(展開用!$G$2:$G$601,MATCH(ROW()-1,展開用!$E$2:$E$601,0)),"")</f>
        <v/>
      </c>
      <c r="P140" s="11"/>
      <c r="Q140" s="11"/>
      <c r="R140" s="11"/>
      <c r="S140" s="11"/>
      <c r="T140" s="11"/>
      <c r="U140" s="11" t="str">
        <f>IF(AND(ROW()-1&lt;=教室申込!$K$5,教室申込!$K$7=0,COUNTA(教室申込!$C$4)=1),INDEX(展開用!$F$2:$F$601,MATCH(ROW()-1,展開用!$E$2:$E$601,0)),"")</f>
        <v/>
      </c>
      <c r="V140" s="11"/>
      <c r="W140" s="11"/>
      <c r="X140" s="11"/>
      <c r="Y140" s="11"/>
      <c r="Z140" s="11"/>
      <c r="AA140" s="11" t="str">
        <f>IF($AW140="","",IF(INDEX(教室申込!$J$1:$J$212,$AW140)="","",INDEX(教室申込!$J$1:$J$212,$AW140)))</f>
        <v/>
      </c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" t="str">
        <f>IF(AND(ROW()-1&lt;=教室申込!$K$5,教室申込!$K$7=0,COUNTA(教室申込!$C$4)=1),INDEX(展開用!$B$2:$B$601,MATCH(ROW()-1,展開用!$E$2:$E$601,0)),"")</f>
        <v/>
      </c>
      <c r="AX140" s="1"/>
      <c r="AY140" s="1"/>
    </row>
    <row r="141" spans="1:51" ht="24" customHeight="1">
      <c r="A141" s="11"/>
      <c r="B141" s="11"/>
      <c r="C141" s="11"/>
      <c r="D141" s="11"/>
      <c r="E141" s="11"/>
      <c r="F141" s="11"/>
      <c r="G141" s="11"/>
      <c r="H141" s="11" t="str">
        <f>IF(AND(ROW()-1&lt;=教室申込!$K$5,教室申込!$K$7=0,COUNTA(教室申込!$C$4)=1),INDEX(展開用!$C$2:$C$601,MATCH(ROW()-1,展開用!$E$2:$E$601,0)),"")</f>
        <v/>
      </c>
      <c r="I141" s="11" t="str">
        <f>IF(AND(ROW()-1&lt;=教室申込!$K$5,教室申込!$K$7=0,COUNTA(教室申込!$C$4)=1),INDEX(展開用!$D$2:$D$601,MATCH(ROW()-1,展開用!$E$2:$E$601,0)),"")</f>
        <v/>
      </c>
      <c r="J141" s="11"/>
      <c r="K141" s="11"/>
      <c r="L141" s="11" t="str">
        <f>IF(AND(ROW()-1&lt;=教室申込!$K$5,教室申込!$K$7=0,COUNTA(教室申込!$C$4)=1),INDEX(教室申込!$B$1:$B$212,$AW141),"")</f>
        <v/>
      </c>
      <c r="M141" s="11" t="str">
        <f>IF(AND(ROW()-1&lt;=教室申込!$K$5,教室申込!$K$7=0,COUNTA(教室申込!$C$4)=1),INDEX(教室申込!$C$1:$C$212,$AW141),"")</f>
        <v/>
      </c>
      <c r="N141" s="11"/>
      <c r="O141" s="12" t="str">
        <f>IF(AND(ROW()-1&lt;=教室申込!$K$5,教室申込!$K$7=0,COUNTA(教室申込!$C$4)=1),INDEX(展開用!$G$2:$G$601,MATCH(ROW()-1,展開用!$E$2:$E$601,0)),"")</f>
        <v/>
      </c>
      <c r="P141" s="11"/>
      <c r="Q141" s="11"/>
      <c r="R141" s="11"/>
      <c r="S141" s="11"/>
      <c r="T141" s="11"/>
      <c r="U141" s="11" t="str">
        <f>IF(AND(ROW()-1&lt;=教室申込!$K$5,教室申込!$K$7=0,COUNTA(教室申込!$C$4)=1),INDEX(展開用!$F$2:$F$601,MATCH(ROW()-1,展開用!$E$2:$E$601,0)),"")</f>
        <v/>
      </c>
      <c r="V141" s="11"/>
      <c r="W141" s="11"/>
      <c r="X141" s="11"/>
      <c r="Y141" s="11"/>
      <c r="Z141" s="11"/>
      <c r="AA141" s="11" t="str">
        <f>IF($AW141="","",IF(INDEX(教室申込!$J$1:$J$212,$AW141)="","",INDEX(教室申込!$J$1:$J$212,$AW141)))</f>
        <v/>
      </c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" t="str">
        <f>IF(AND(ROW()-1&lt;=教室申込!$K$5,教室申込!$K$7=0,COUNTA(教室申込!$C$4)=1),INDEX(展開用!$B$2:$B$601,MATCH(ROW()-1,展開用!$E$2:$E$601,0)),"")</f>
        <v/>
      </c>
      <c r="AX141" s="1"/>
      <c r="AY141" s="1"/>
    </row>
    <row r="142" spans="1:51" ht="24" customHeight="1">
      <c r="A142" s="11"/>
      <c r="B142" s="11"/>
      <c r="C142" s="11"/>
      <c r="D142" s="11"/>
      <c r="E142" s="11"/>
      <c r="F142" s="11"/>
      <c r="G142" s="11"/>
      <c r="H142" s="11" t="str">
        <f>IF(AND(ROW()-1&lt;=教室申込!$K$5,教室申込!$K$7=0,COUNTA(教室申込!$C$4)=1),INDEX(展開用!$C$2:$C$601,MATCH(ROW()-1,展開用!$E$2:$E$601,0)),"")</f>
        <v/>
      </c>
      <c r="I142" s="11" t="str">
        <f>IF(AND(ROW()-1&lt;=教室申込!$K$5,教室申込!$K$7=0,COUNTA(教室申込!$C$4)=1),INDEX(展開用!$D$2:$D$601,MATCH(ROW()-1,展開用!$E$2:$E$601,0)),"")</f>
        <v/>
      </c>
      <c r="J142" s="11"/>
      <c r="K142" s="11"/>
      <c r="L142" s="11" t="str">
        <f>IF(AND(ROW()-1&lt;=教室申込!$K$5,教室申込!$K$7=0,COUNTA(教室申込!$C$4)=1),INDEX(教室申込!$B$1:$B$212,$AW142),"")</f>
        <v/>
      </c>
      <c r="M142" s="11" t="str">
        <f>IF(AND(ROW()-1&lt;=教室申込!$K$5,教室申込!$K$7=0,COUNTA(教室申込!$C$4)=1),INDEX(教室申込!$C$1:$C$212,$AW142),"")</f>
        <v/>
      </c>
      <c r="N142" s="11"/>
      <c r="O142" s="12" t="str">
        <f>IF(AND(ROW()-1&lt;=教室申込!$K$5,教室申込!$K$7=0,COUNTA(教室申込!$C$4)=1),INDEX(展開用!$G$2:$G$601,MATCH(ROW()-1,展開用!$E$2:$E$601,0)),"")</f>
        <v/>
      </c>
      <c r="P142" s="11"/>
      <c r="Q142" s="11"/>
      <c r="R142" s="11"/>
      <c r="S142" s="11"/>
      <c r="T142" s="11"/>
      <c r="U142" s="11" t="str">
        <f>IF(AND(ROW()-1&lt;=教室申込!$K$5,教室申込!$K$7=0,COUNTA(教室申込!$C$4)=1),INDEX(展開用!$F$2:$F$601,MATCH(ROW()-1,展開用!$E$2:$E$601,0)),"")</f>
        <v/>
      </c>
      <c r="V142" s="11"/>
      <c r="W142" s="11"/>
      <c r="X142" s="11"/>
      <c r="Y142" s="11"/>
      <c r="Z142" s="11"/>
      <c r="AA142" s="11" t="str">
        <f>IF($AW142="","",IF(INDEX(教室申込!$J$1:$J$212,$AW142)="","",INDEX(教室申込!$J$1:$J$212,$AW142)))</f>
        <v/>
      </c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" t="str">
        <f>IF(AND(ROW()-1&lt;=教室申込!$K$5,教室申込!$K$7=0,COUNTA(教室申込!$C$4)=1),INDEX(展開用!$B$2:$B$601,MATCH(ROW()-1,展開用!$E$2:$E$601,0)),"")</f>
        <v/>
      </c>
      <c r="AX142" s="1"/>
      <c r="AY142" s="1"/>
    </row>
    <row r="143" spans="1:51" ht="24" customHeight="1">
      <c r="A143" s="11"/>
      <c r="B143" s="11"/>
      <c r="C143" s="11"/>
      <c r="D143" s="11"/>
      <c r="E143" s="11"/>
      <c r="F143" s="11"/>
      <c r="G143" s="11"/>
      <c r="H143" s="11" t="str">
        <f>IF(AND(ROW()-1&lt;=教室申込!$K$5,教室申込!$K$7=0,COUNTA(教室申込!$C$4)=1),INDEX(展開用!$C$2:$C$601,MATCH(ROW()-1,展開用!$E$2:$E$601,0)),"")</f>
        <v/>
      </c>
      <c r="I143" s="11" t="str">
        <f>IF(AND(ROW()-1&lt;=教室申込!$K$5,教室申込!$K$7=0,COUNTA(教室申込!$C$4)=1),INDEX(展開用!$D$2:$D$601,MATCH(ROW()-1,展開用!$E$2:$E$601,0)),"")</f>
        <v/>
      </c>
      <c r="J143" s="11"/>
      <c r="K143" s="11"/>
      <c r="L143" s="11" t="str">
        <f>IF(AND(ROW()-1&lt;=教室申込!$K$5,教室申込!$K$7=0,COUNTA(教室申込!$C$4)=1),INDEX(教室申込!$B$1:$B$212,$AW143),"")</f>
        <v/>
      </c>
      <c r="M143" s="11" t="str">
        <f>IF(AND(ROW()-1&lt;=教室申込!$K$5,教室申込!$K$7=0,COUNTA(教室申込!$C$4)=1),INDEX(教室申込!$C$1:$C$212,$AW143),"")</f>
        <v/>
      </c>
      <c r="N143" s="11"/>
      <c r="O143" s="12" t="str">
        <f>IF(AND(ROW()-1&lt;=教室申込!$K$5,教室申込!$K$7=0,COUNTA(教室申込!$C$4)=1),INDEX(展開用!$G$2:$G$601,MATCH(ROW()-1,展開用!$E$2:$E$601,0)),"")</f>
        <v/>
      </c>
      <c r="P143" s="11"/>
      <c r="Q143" s="11"/>
      <c r="R143" s="11"/>
      <c r="S143" s="11"/>
      <c r="T143" s="11"/>
      <c r="U143" s="11" t="str">
        <f>IF(AND(ROW()-1&lt;=教室申込!$K$5,教室申込!$K$7=0,COUNTA(教室申込!$C$4)=1),INDEX(展開用!$F$2:$F$601,MATCH(ROW()-1,展開用!$E$2:$E$601,0)),"")</f>
        <v/>
      </c>
      <c r="V143" s="11"/>
      <c r="W143" s="11"/>
      <c r="X143" s="11"/>
      <c r="Y143" s="11"/>
      <c r="Z143" s="11"/>
      <c r="AA143" s="11" t="str">
        <f>IF($AW143="","",IF(INDEX(教室申込!$J$1:$J$212,$AW143)="","",INDEX(教室申込!$J$1:$J$212,$AW143)))</f>
        <v/>
      </c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" t="str">
        <f>IF(AND(ROW()-1&lt;=教室申込!$K$5,教室申込!$K$7=0,COUNTA(教室申込!$C$4)=1),INDEX(展開用!$B$2:$B$601,MATCH(ROW()-1,展開用!$E$2:$E$601,0)),"")</f>
        <v/>
      </c>
      <c r="AX143" s="1"/>
      <c r="AY143" s="1"/>
    </row>
    <row r="144" spans="1:51" ht="24" customHeight="1">
      <c r="A144" s="11"/>
      <c r="B144" s="11"/>
      <c r="C144" s="11"/>
      <c r="D144" s="11"/>
      <c r="E144" s="11"/>
      <c r="F144" s="11"/>
      <c r="G144" s="11"/>
      <c r="H144" s="11" t="str">
        <f>IF(AND(ROW()-1&lt;=教室申込!$K$5,教室申込!$K$7=0,COUNTA(教室申込!$C$4)=1),INDEX(展開用!$C$2:$C$601,MATCH(ROW()-1,展開用!$E$2:$E$601,0)),"")</f>
        <v/>
      </c>
      <c r="I144" s="11" t="str">
        <f>IF(AND(ROW()-1&lt;=教室申込!$K$5,教室申込!$K$7=0,COUNTA(教室申込!$C$4)=1),INDEX(展開用!$D$2:$D$601,MATCH(ROW()-1,展開用!$E$2:$E$601,0)),"")</f>
        <v/>
      </c>
      <c r="J144" s="11"/>
      <c r="K144" s="11"/>
      <c r="L144" s="11" t="str">
        <f>IF(AND(ROW()-1&lt;=教室申込!$K$5,教室申込!$K$7=0,COUNTA(教室申込!$C$4)=1),INDEX(教室申込!$B$1:$B$212,$AW144),"")</f>
        <v/>
      </c>
      <c r="M144" s="11" t="str">
        <f>IF(AND(ROW()-1&lt;=教室申込!$K$5,教室申込!$K$7=0,COUNTA(教室申込!$C$4)=1),INDEX(教室申込!$C$1:$C$212,$AW144),"")</f>
        <v/>
      </c>
      <c r="N144" s="11"/>
      <c r="O144" s="12" t="str">
        <f>IF(AND(ROW()-1&lt;=教室申込!$K$5,教室申込!$K$7=0,COUNTA(教室申込!$C$4)=1),INDEX(展開用!$G$2:$G$601,MATCH(ROW()-1,展開用!$E$2:$E$601,0)),"")</f>
        <v/>
      </c>
      <c r="P144" s="11"/>
      <c r="Q144" s="11"/>
      <c r="R144" s="11"/>
      <c r="S144" s="11"/>
      <c r="T144" s="11"/>
      <c r="U144" s="11" t="str">
        <f>IF(AND(ROW()-1&lt;=教室申込!$K$5,教室申込!$K$7=0,COUNTA(教室申込!$C$4)=1),INDEX(展開用!$F$2:$F$601,MATCH(ROW()-1,展開用!$E$2:$E$601,0)),"")</f>
        <v/>
      </c>
      <c r="V144" s="11"/>
      <c r="W144" s="11"/>
      <c r="X144" s="11"/>
      <c r="Y144" s="11"/>
      <c r="Z144" s="11"/>
      <c r="AA144" s="11" t="str">
        <f>IF($AW144="","",IF(INDEX(教室申込!$J$1:$J$212,$AW144)="","",INDEX(教室申込!$J$1:$J$212,$AW144)))</f>
        <v/>
      </c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" t="str">
        <f>IF(AND(ROW()-1&lt;=教室申込!$K$5,教室申込!$K$7=0,COUNTA(教室申込!$C$4)=1),INDEX(展開用!$B$2:$B$601,MATCH(ROW()-1,展開用!$E$2:$E$601,0)),"")</f>
        <v/>
      </c>
      <c r="AX144" s="1"/>
      <c r="AY144" s="1"/>
    </row>
    <row r="145" spans="1:51" ht="24" customHeight="1">
      <c r="A145" s="11"/>
      <c r="B145" s="11"/>
      <c r="C145" s="11"/>
      <c r="D145" s="11"/>
      <c r="E145" s="11"/>
      <c r="F145" s="11"/>
      <c r="G145" s="11"/>
      <c r="H145" s="11" t="str">
        <f>IF(AND(ROW()-1&lt;=教室申込!$K$5,教室申込!$K$7=0,COUNTA(教室申込!$C$4)=1),INDEX(展開用!$C$2:$C$601,MATCH(ROW()-1,展開用!$E$2:$E$601,0)),"")</f>
        <v/>
      </c>
      <c r="I145" s="11" t="str">
        <f>IF(AND(ROW()-1&lt;=教室申込!$K$5,教室申込!$K$7=0,COUNTA(教室申込!$C$4)=1),INDEX(展開用!$D$2:$D$601,MATCH(ROW()-1,展開用!$E$2:$E$601,0)),"")</f>
        <v/>
      </c>
      <c r="J145" s="11"/>
      <c r="K145" s="11"/>
      <c r="L145" s="11" t="str">
        <f>IF(AND(ROW()-1&lt;=教室申込!$K$5,教室申込!$K$7=0,COUNTA(教室申込!$C$4)=1),INDEX(教室申込!$B$1:$B$212,$AW145),"")</f>
        <v/>
      </c>
      <c r="M145" s="11" t="str">
        <f>IF(AND(ROW()-1&lt;=教室申込!$K$5,教室申込!$K$7=0,COUNTA(教室申込!$C$4)=1),INDEX(教室申込!$C$1:$C$212,$AW145),"")</f>
        <v/>
      </c>
      <c r="N145" s="11"/>
      <c r="O145" s="12" t="str">
        <f>IF(AND(ROW()-1&lt;=教室申込!$K$5,教室申込!$K$7=0,COUNTA(教室申込!$C$4)=1),INDEX(展開用!$G$2:$G$601,MATCH(ROW()-1,展開用!$E$2:$E$601,0)),"")</f>
        <v/>
      </c>
      <c r="P145" s="11"/>
      <c r="Q145" s="11"/>
      <c r="R145" s="11"/>
      <c r="S145" s="11"/>
      <c r="T145" s="11"/>
      <c r="U145" s="11" t="str">
        <f>IF(AND(ROW()-1&lt;=教室申込!$K$5,教室申込!$K$7=0,COUNTA(教室申込!$C$4)=1),INDEX(展開用!$F$2:$F$601,MATCH(ROW()-1,展開用!$E$2:$E$601,0)),"")</f>
        <v/>
      </c>
      <c r="V145" s="11"/>
      <c r="W145" s="11"/>
      <c r="X145" s="11"/>
      <c r="Y145" s="11"/>
      <c r="Z145" s="11"/>
      <c r="AA145" s="11" t="str">
        <f>IF($AW145="","",IF(INDEX(教室申込!$J$1:$J$212,$AW145)="","",INDEX(教室申込!$J$1:$J$212,$AW145)))</f>
        <v/>
      </c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" t="str">
        <f>IF(AND(ROW()-1&lt;=教室申込!$K$5,教室申込!$K$7=0,COUNTA(教室申込!$C$4)=1),INDEX(展開用!$B$2:$B$601,MATCH(ROW()-1,展開用!$E$2:$E$601,0)),"")</f>
        <v/>
      </c>
      <c r="AX145" s="1"/>
      <c r="AY145" s="1"/>
    </row>
    <row r="146" spans="1:51" ht="24" customHeight="1">
      <c r="A146" s="11"/>
      <c r="B146" s="11"/>
      <c r="C146" s="11"/>
      <c r="D146" s="11"/>
      <c r="E146" s="11"/>
      <c r="F146" s="11"/>
      <c r="G146" s="11"/>
      <c r="H146" s="11" t="str">
        <f>IF(AND(ROW()-1&lt;=教室申込!$K$5,教室申込!$K$7=0,COUNTA(教室申込!$C$4)=1),INDEX(展開用!$C$2:$C$601,MATCH(ROW()-1,展開用!$E$2:$E$601,0)),"")</f>
        <v/>
      </c>
      <c r="I146" s="11" t="str">
        <f>IF(AND(ROW()-1&lt;=教室申込!$K$5,教室申込!$K$7=0,COUNTA(教室申込!$C$4)=1),INDEX(展開用!$D$2:$D$601,MATCH(ROW()-1,展開用!$E$2:$E$601,0)),"")</f>
        <v/>
      </c>
      <c r="J146" s="11"/>
      <c r="K146" s="11"/>
      <c r="L146" s="11" t="str">
        <f>IF(AND(ROW()-1&lt;=教室申込!$K$5,教室申込!$K$7=0,COUNTA(教室申込!$C$4)=1),INDEX(教室申込!$B$1:$B$212,$AW146),"")</f>
        <v/>
      </c>
      <c r="M146" s="11" t="str">
        <f>IF(AND(ROW()-1&lt;=教室申込!$K$5,教室申込!$K$7=0,COUNTA(教室申込!$C$4)=1),INDEX(教室申込!$C$1:$C$212,$AW146),"")</f>
        <v/>
      </c>
      <c r="N146" s="11"/>
      <c r="O146" s="12" t="str">
        <f>IF(AND(ROW()-1&lt;=教室申込!$K$5,教室申込!$K$7=0,COUNTA(教室申込!$C$4)=1),INDEX(展開用!$G$2:$G$601,MATCH(ROW()-1,展開用!$E$2:$E$601,0)),"")</f>
        <v/>
      </c>
      <c r="P146" s="11"/>
      <c r="Q146" s="11"/>
      <c r="R146" s="11"/>
      <c r="S146" s="11"/>
      <c r="T146" s="11"/>
      <c r="U146" s="11" t="str">
        <f>IF(AND(ROW()-1&lt;=教室申込!$K$5,教室申込!$K$7=0,COUNTA(教室申込!$C$4)=1),INDEX(展開用!$F$2:$F$601,MATCH(ROW()-1,展開用!$E$2:$E$601,0)),"")</f>
        <v/>
      </c>
      <c r="V146" s="11"/>
      <c r="W146" s="11"/>
      <c r="X146" s="11"/>
      <c r="Y146" s="11"/>
      <c r="Z146" s="11"/>
      <c r="AA146" s="11" t="str">
        <f>IF($AW146="","",IF(INDEX(教室申込!$J$1:$J$212,$AW146)="","",INDEX(教室申込!$J$1:$J$212,$AW146)))</f>
        <v/>
      </c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" t="str">
        <f>IF(AND(ROW()-1&lt;=教室申込!$K$5,教室申込!$K$7=0,COUNTA(教室申込!$C$4)=1),INDEX(展開用!$B$2:$B$601,MATCH(ROW()-1,展開用!$E$2:$E$601,0)),"")</f>
        <v/>
      </c>
      <c r="AX146" s="1"/>
      <c r="AY146" s="1"/>
    </row>
    <row r="147" spans="1:51" ht="24" customHeight="1">
      <c r="A147" s="11"/>
      <c r="B147" s="11"/>
      <c r="C147" s="11"/>
      <c r="D147" s="11"/>
      <c r="E147" s="11"/>
      <c r="F147" s="11"/>
      <c r="G147" s="11"/>
      <c r="H147" s="11" t="str">
        <f>IF(AND(ROW()-1&lt;=教室申込!$K$5,教室申込!$K$7=0,COUNTA(教室申込!$C$4)=1),INDEX(展開用!$C$2:$C$601,MATCH(ROW()-1,展開用!$E$2:$E$601,0)),"")</f>
        <v/>
      </c>
      <c r="I147" s="11" t="str">
        <f>IF(AND(ROW()-1&lt;=教室申込!$K$5,教室申込!$K$7=0,COUNTA(教室申込!$C$4)=1),INDEX(展開用!$D$2:$D$601,MATCH(ROW()-1,展開用!$E$2:$E$601,0)),"")</f>
        <v/>
      </c>
      <c r="J147" s="11"/>
      <c r="K147" s="11"/>
      <c r="L147" s="11" t="str">
        <f>IF(AND(ROW()-1&lt;=教室申込!$K$5,教室申込!$K$7=0,COUNTA(教室申込!$C$4)=1),INDEX(教室申込!$B$1:$B$212,$AW147),"")</f>
        <v/>
      </c>
      <c r="M147" s="11" t="str">
        <f>IF(AND(ROW()-1&lt;=教室申込!$K$5,教室申込!$K$7=0,COUNTA(教室申込!$C$4)=1),INDEX(教室申込!$C$1:$C$212,$AW147),"")</f>
        <v/>
      </c>
      <c r="N147" s="11"/>
      <c r="O147" s="12" t="str">
        <f>IF(AND(ROW()-1&lt;=教室申込!$K$5,教室申込!$K$7=0,COUNTA(教室申込!$C$4)=1),INDEX(展開用!$G$2:$G$601,MATCH(ROW()-1,展開用!$E$2:$E$601,0)),"")</f>
        <v/>
      </c>
      <c r="P147" s="11"/>
      <c r="Q147" s="11"/>
      <c r="R147" s="11"/>
      <c r="S147" s="11"/>
      <c r="T147" s="11"/>
      <c r="U147" s="11" t="str">
        <f>IF(AND(ROW()-1&lt;=教室申込!$K$5,教室申込!$K$7=0,COUNTA(教室申込!$C$4)=1),INDEX(展開用!$F$2:$F$601,MATCH(ROW()-1,展開用!$E$2:$E$601,0)),"")</f>
        <v/>
      </c>
      <c r="V147" s="11"/>
      <c r="W147" s="11"/>
      <c r="X147" s="11"/>
      <c r="Y147" s="11"/>
      <c r="Z147" s="11"/>
      <c r="AA147" s="11" t="str">
        <f>IF($AW147="","",IF(INDEX(教室申込!$J$1:$J$212,$AW147)="","",INDEX(教室申込!$J$1:$J$212,$AW147)))</f>
        <v/>
      </c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" t="str">
        <f>IF(AND(ROW()-1&lt;=教室申込!$K$5,教室申込!$K$7=0,COUNTA(教室申込!$C$4)=1),INDEX(展開用!$B$2:$B$601,MATCH(ROW()-1,展開用!$E$2:$E$601,0)),"")</f>
        <v/>
      </c>
      <c r="AX147" s="1"/>
      <c r="AY147" s="1"/>
    </row>
    <row r="148" spans="1:51" ht="24" customHeight="1">
      <c r="A148" s="11"/>
      <c r="B148" s="11"/>
      <c r="C148" s="11"/>
      <c r="D148" s="11"/>
      <c r="E148" s="11"/>
      <c r="F148" s="11"/>
      <c r="G148" s="11"/>
      <c r="H148" s="11" t="str">
        <f>IF(AND(ROW()-1&lt;=教室申込!$K$5,教室申込!$K$7=0,COUNTA(教室申込!$C$4)=1),INDEX(展開用!$C$2:$C$601,MATCH(ROW()-1,展開用!$E$2:$E$601,0)),"")</f>
        <v/>
      </c>
      <c r="I148" s="11" t="str">
        <f>IF(AND(ROW()-1&lt;=教室申込!$K$5,教室申込!$K$7=0,COUNTA(教室申込!$C$4)=1),INDEX(展開用!$D$2:$D$601,MATCH(ROW()-1,展開用!$E$2:$E$601,0)),"")</f>
        <v/>
      </c>
      <c r="J148" s="11"/>
      <c r="K148" s="11"/>
      <c r="L148" s="11" t="str">
        <f>IF(AND(ROW()-1&lt;=教室申込!$K$5,教室申込!$K$7=0,COUNTA(教室申込!$C$4)=1),INDEX(教室申込!$B$1:$B$212,$AW148),"")</f>
        <v/>
      </c>
      <c r="M148" s="11" t="str">
        <f>IF(AND(ROW()-1&lt;=教室申込!$K$5,教室申込!$K$7=0,COUNTA(教室申込!$C$4)=1),INDEX(教室申込!$C$1:$C$212,$AW148),"")</f>
        <v/>
      </c>
      <c r="N148" s="11"/>
      <c r="O148" s="12" t="str">
        <f>IF(AND(ROW()-1&lt;=教室申込!$K$5,教室申込!$K$7=0,COUNTA(教室申込!$C$4)=1),INDEX(展開用!$G$2:$G$601,MATCH(ROW()-1,展開用!$E$2:$E$601,0)),"")</f>
        <v/>
      </c>
      <c r="P148" s="11"/>
      <c r="Q148" s="11"/>
      <c r="R148" s="11"/>
      <c r="S148" s="11"/>
      <c r="T148" s="11"/>
      <c r="U148" s="11" t="str">
        <f>IF(AND(ROW()-1&lt;=教室申込!$K$5,教室申込!$K$7=0,COUNTA(教室申込!$C$4)=1),INDEX(展開用!$F$2:$F$601,MATCH(ROW()-1,展開用!$E$2:$E$601,0)),"")</f>
        <v/>
      </c>
      <c r="V148" s="11"/>
      <c r="W148" s="11"/>
      <c r="X148" s="11"/>
      <c r="Y148" s="11"/>
      <c r="Z148" s="11"/>
      <c r="AA148" s="11" t="str">
        <f>IF($AW148="","",IF(INDEX(教室申込!$J$1:$J$212,$AW148)="","",INDEX(教室申込!$J$1:$J$212,$AW148)))</f>
        <v/>
      </c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" t="str">
        <f>IF(AND(ROW()-1&lt;=教室申込!$K$5,教室申込!$K$7=0,COUNTA(教室申込!$C$4)=1),INDEX(展開用!$B$2:$B$601,MATCH(ROW()-1,展開用!$E$2:$E$601,0)),"")</f>
        <v/>
      </c>
      <c r="AX148" s="1"/>
      <c r="AY148" s="1"/>
    </row>
    <row r="149" spans="1:51" ht="24" customHeight="1">
      <c r="A149" s="11"/>
      <c r="B149" s="11"/>
      <c r="C149" s="11"/>
      <c r="D149" s="11"/>
      <c r="E149" s="11"/>
      <c r="F149" s="11"/>
      <c r="G149" s="11"/>
      <c r="H149" s="11" t="str">
        <f>IF(AND(ROW()-1&lt;=教室申込!$K$5,教室申込!$K$7=0,COUNTA(教室申込!$C$4)=1),INDEX(展開用!$C$2:$C$601,MATCH(ROW()-1,展開用!$E$2:$E$601,0)),"")</f>
        <v/>
      </c>
      <c r="I149" s="11" t="str">
        <f>IF(AND(ROW()-1&lt;=教室申込!$K$5,教室申込!$K$7=0,COUNTA(教室申込!$C$4)=1),INDEX(展開用!$D$2:$D$601,MATCH(ROW()-1,展開用!$E$2:$E$601,0)),"")</f>
        <v/>
      </c>
      <c r="J149" s="11"/>
      <c r="K149" s="11"/>
      <c r="L149" s="11" t="str">
        <f>IF(AND(ROW()-1&lt;=教室申込!$K$5,教室申込!$K$7=0,COUNTA(教室申込!$C$4)=1),INDEX(教室申込!$B$1:$B$212,$AW149),"")</f>
        <v/>
      </c>
      <c r="M149" s="11" t="str">
        <f>IF(AND(ROW()-1&lt;=教室申込!$K$5,教室申込!$K$7=0,COUNTA(教室申込!$C$4)=1),INDEX(教室申込!$C$1:$C$212,$AW149),"")</f>
        <v/>
      </c>
      <c r="N149" s="11"/>
      <c r="O149" s="12" t="str">
        <f>IF(AND(ROW()-1&lt;=教室申込!$K$5,教室申込!$K$7=0,COUNTA(教室申込!$C$4)=1),INDEX(展開用!$G$2:$G$601,MATCH(ROW()-1,展開用!$E$2:$E$601,0)),"")</f>
        <v/>
      </c>
      <c r="P149" s="11"/>
      <c r="Q149" s="11"/>
      <c r="R149" s="11"/>
      <c r="S149" s="11"/>
      <c r="T149" s="11"/>
      <c r="U149" s="11" t="str">
        <f>IF(AND(ROW()-1&lt;=教室申込!$K$5,教室申込!$K$7=0,COUNTA(教室申込!$C$4)=1),INDEX(展開用!$F$2:$F$601,MATCH(ROW()-1,展開用!$E$2:$E$601,0)),"")</f>
        <v/>
      </c>
      <c r="V149" s="11"/>
      <c r="W149" s="11"/>
      <c r="X149" s="11"/>
      <c r="Y149" s="11"/>
      <c r="Z149" s="11"/>
      <c r="AA149" s="11" t="str">
        <f>IF($AW149="","",IF(INDEX(教室申込!$J$1:$J$212,$AW149)="","",INDEX(教室申込!$J$1:$J$212,$AW149)))</f>
        <v/>
      </c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" t="str">
        <f>IF(AND(ROW()-1&lt;=教室申込!$K$5,教室申込!$K$7=0,COUNTA(教室申込!$C$4)=1),INDEX(展開用!$B$2:$B$601,MATCH(ROW()-1,展開用!$E$2:$E$601,0)),"")</f>
        <v/>
      </c>
      <c r="AX149" s="1"/>
      <c r="AY149" s="1"/>
    </row>
    <row r="150" spans="1:51" ht="24" customHeight="1">
      <c r="A150" s="11"/>
      <c r="B150" s="11"/>
      <c r="C150" s="11"/>
      <c r="D150" s="11"/>
      <c r="E150" s="11"/>
      <c r="F150" s="11"/>
      <c r="G150" s="11"/>
      <c r="H150" s="11" t="str">
        <f>IF(AND(ROW()-1&lt;=教室申込!$K$5,教室申込!$K$7=0,COUNTA(教室申込!$C$4)=1),INDEX(展開用!$C$2:$C$601,MATCH(ROW()-1,展開用!$E$2:$E$601,0)),"")</f>
        <v/>
      </c>
      <c r="I150" s="11" t="str">
        <f>IF(AND(ROW()-1&lt;=教室申込!$K$5,教室申込!$K$7=0,COUNTA(教室申込!$C$4)=1),INDEX(展開用!$D$2:$D$601,MATCH(ROW()-1,展開用!$E$2:$E$601,0)),"")</f>
        <v/>
      </c>
      <c r="J150" s="11"/>
      <c r="K150" s="11"/>
      <c r="L150" s="11" t="str">
        <f>IF(AND(ROW()-1&lt;=教室申込!$K$5,教室申込!$K$7=0,COUNTA(教室申込!$C$4)=1),INDEX(教室申込!$B$1:$B$212,$AW150),"")</f>
        <v/>
      </c>
      <c r="M150" s="11" t="str">
        <f>IF(AND(ROW()-1&lt;=教室申込!$K$5,教室申込!$K$7=0,COUNTA(教室申込!$C$4)=1),INDEX(教室申込!$C$1:$C$212,$AW150),"")</f>
        <v/>
      </c>
      <c r="N150" s="11"/>
      <c r="O150" s="12" t="str">
        <f>IF(AND(ROW()-1&lt;=教室申込!$K$5,教室申込!$K$7=0,COUNTA(教室申込!$C$4)=1),INDEX(展開用!$G$2:$G$601,MATCH(ROW()-1,展開用!$E$2:$E$601,0)),"")</f>
        <v/>
      </c>
      <c r="P150" s="11"/>
      <c r="Q150" s="11"/>
      <c r="R150" s="11"/>
      <c r="S150" s="11"/>
      <c r="T150" s="11"/>
      <c r="U150" s="11" t="str">
        <f>IF(AND(ROW()-1&lt;=教室申込!$K$5,教室申込!$K$7=0,COUNTA(教室申込!$C$4)=1),INDEX(展開用!$F$2:$F$601,MATCH(ROW()-1,展開用!$E$2:$E$601,0)),"")</f>
        <v/>
      </c>
      <c r="V150" s="11"/>
      <c r="W150" s="11"/>
      <c r="X150" s="11"/>
      <c r="Y150" s="11"/>
      <c r="Z150" s="11"/>
      <c r="AA150" s="11" t="str">
        <f>IF($AW150="","",IF(INDEX(教室申込!$J$1:$J$212,$AW150)="","",INDEX(教室申込!$J$1:$J$212,$AW150)))</f>
        <v/>
      </c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" t="str">
        <f>IF(AND(ROW()-1&lt;=教室申込!$K$5,教室申込!$K$7=0,COUNTA(教室申込!$C$4)=1),INDEX(展開用!$B$2:$B$601,MATCH(ROW()-1,展開用!$E$2:$E$601,0)),"")</f>
        <v/>
      </c>
      <c r="AX150" s="1"/>
      <c r="AY150" s="1"/>
    </row>
    <row r="151" spans="1:51" ht="24" customHeight="1">
      <c r="A151" s="11"/>
      <c r="B151" s="11"/>
      <c r="C151" s="11"/>
      <c r="D151" s="11"/>
      <c r="E151" s="11"/>
      <c r="F151" s="11"/>
      <c r="G151" s="11"/>
      <c r="H151" s="11" t="str">
        <f>IF(AND(ROW()-1&lt;=教室申込!$K$5,教室申込!$K$7=0,COUNTA(教室申込!$C$4)=1),INDEX(展開用!$C$2:$C$601,MATCH(ROW()-1,展開用!$E$2:$E$601,0)),"")</f>
        <v/>
      </c>
      <c r="I151" s="11" t="str">
        <f>IF(AND(ROW()-1&lt;=教室申込!$K$5,教室申込!$K$7=0,COUNTA(教室申込!$C$4)=1),INDEX(展開用!$D$2:$D$601,MATCH(ROW()-1,展開用!$E$2:$E$601,0)),"")</f>
        <v/>
      </c>
      <c r="J151" s="11"/>
      <c r="K151" s="11"/>
      <c r="L151" s="11" t="str">
        <f>IF(AND(ROW()-1&lt;=教室申込!$K$5,教室申込!$K$7=0,COUNTA(教室申込!$C$4)=1),INDEX(教室申込!$B$1:$B$212,$AW151),"")</f>
        <v/>
      </c>
      <c r="M151" s="11" t="str">
        <f>IF(AND(ROW()-1&lt;=教室申込!$K$5,教室申込!$K$7=0,COUNTA(教室申込!$C$4)=1),INDEX(教室申込!$C$1:$C$212,$AW151),"")</f>
        <v/>
      </c>
      <c r="N151" s="11"/>
      <c r="O151" s="12" t="str">
        <f>IF(AND(ROW()-1&lt;=教室申込!$K$5,教室申込!$K$7=0,COUNTA(教室申込!$C$4)=1),INDEX(展開用!$G$2:$G$601,MATCH(ROW()-1,展開用!$E$2:$E$601,0)),"")</f>
        <v/>
      </c>
      <c r="P151" s="11"/>
      <c r="Q151" s="11"/>
      <c r="R151" s="11"/>
      <c r="S151" s="11"/>
      <c r="T151" s="11"/>
      <c r="U151" s="11" t="str">
        <f>IF(AND(ROW()-1&lt;=教室申込!$K$5,教室申込!$K$7=0,COUNTA(教室申込!$C$4)=1),INDEX(展開用!$F$2:$F$601,MATCH(ROW()-1,展開用!$E$2:$E$601,0)),"")</f>
        <v/>
      </c>
      <c r="V151" s="11"/>
      <c r="W151" s="11"/>
      <c r="X151" s="11"/>
      <c r="Y151" s="11"/>
      <c r="Z151" s="11"/>
      <c r="AA151" s="11" t="str">
        <f>IF($AW151="","",IF(INDEX(教室申込!$J$1:$J$212,$AW151)="","",INDEX(教室申込!$J$1:$J$212,$AW151)))</f>
        <v/>
      </c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" t="str">
        <f>IF(AND(ROW()-1&lt;=教室申込!$K$5,教室申込!$K$7=0,COUNTA(教室申込!$C$4)=1),INDEX(展開用!$B$2:$B$601,MATCH(ROW()-1,展開用!$E$2:$E$601,0)),"")</f>
        <v/>
      </c>
      <c r="AX151" s="1"/>
      <c r="AY151" s="1"/>
    </row>
    <row r="152" spans="1:51" ht="24" customHeight="1">
      <c r="A152" s="11"/>
      <c r="B152" s="11"/>
      <c r="C152" s="11"/>
      <c r="D152" s="11"/>
      <c r="E152" s="11"/>
      <c r="F152" s="11"/>
      <c r="G152" s="11"/>
      <c r="H152" s="11" t="str">
        <f>IF(AND(ROW()-1&lt;=教室申込!$K$5,教室申込!$K$7=0,COUNTA(教室申込!$C$4)=1),INDEX(展開用!$C$2:$C$601,MATCH(ROW()-1,展開用!$E$2:$E$601,0)),"")</f>
        <v/>
      </c>
      <c r="I152" s="11" t="str">
        <f>IF(AND(ROW()-1&lt;=教室申込!$K$5,教室申込!$K$7=0,COUNTA(教室申込!$C$4)=1),INDEX(展開用!$D$2:$D$601,MATCH(ROW()-1,展開用!$E$2:$E$601,0)),"")</f>
        <v/>
      </c>
      <c r="J152" s="11"/>
      <c r="K152" s="11"/>
      <c r="L152" s="11" t="str">
        <f>IF(AND(ROW()-1&lt;=教室申込!$K$5,教室申込!$K$7=0,COUNTA(教室申込!$C$4)=1),INDEX(教室申込!$B$1:$B$212,$AW152),"")</f>
        <v/>
      </c>
      <c r="M152" s="11" t="str">
        <f>IF(AND(ROW()-1&lt;=教室申込!$K$5,教室申込!$K$7=0,COUNTA(教室申込!$C$4)=1),INDEX(教室申込!$C$1:$C$212,$AW152),"")</f>
        <v/>
      </c>
      <c r="N152" s="11"/>
      <c r="O152" s="12" t="str">
        <f>IF(AND(ROW()-1&lt;=教室申込!$K$5,教室申込!$K$7=0,COUNTA(教室申込!$C$4)=1),INDEX(展開用!$G$2:$G$601,MATCH(ROW()-1,展開用!$E$2:$E$601,0)),"")</f>
        <v/>
      </c>
      <c r="P152" s="11"/>
      <c r="Q152" s="11"/>
      <c r="R152" s="11"/>
      <c r="S152" s="11"/>
      <c r="T152" s="11"/>
      <c r="U152" s="11" t="str">
        <f>IF(AND(ROW()-1&lt;=教室申込!$K$5,教室申込!$K$7=0,COUNTA(教室申込!$C$4)=1),INDEX(展開用!$F$2:$F$601,MATCH(ROW()-1,展開用!$E$2:$E$601,0)),"")</f>
        <v/>
      </c>
      <c r="V152" s="11"/>
      <c r="W152" s="11"/>
      <c r="X152" s="11"/>
      <c r="Y152" s="11"/>
      <c r="Z152" s="11"/>
      <c r="AA152" s="11" t="str">
        <f>IF($AW152="","",IF(INDEX(教室申込!$J$1:$J$212,$AW152)="","",INDEX(教室申込!$J$1:$J$212,$AW152)))</f>
        <v/>
      </c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" t="str">
        <f>IF(AND(ROW()-1&lt;=教室申込!$K$5,教室申込!$K$7=0,COUNTA(教室申込!$C$4)=1),INDEX(展開用!$B$2:$B$601,MATCH(ROW()-1,展開用!$E$2:$E$601,0)),"")</f>
        <v/>
      </c>
      <c r="AX152" s="1"/>
      <c r="AY152" s="1"/>
    </row>
    <row r="153" spans="1:51" ht="24" customHeight="1">
      <c r="A153" s="11"/>
      <c r="B153" s="11"/>
      <c r="C153" s="11"/>
      <c r="D153" s="11"/>
      <c r="E153" s="11"/>
      <c r="F153" s="11"/>
      <c r="G153" s="11"/>
      <c r="H153" s="11" t="str">
        <f>IF(AND(ROW()-1&lt;=教室申込!$K$5,教室申込!$K$7=0,COUNTA(教室申込!$C$4)=1),INDEX(展開用!$C$2:$C$601,MATCH(ROW()-1,展開用!$E$2:$E$601,0)),"")</f>
        <v/>
      </c>
      <c r="I153" s="11" t="str">
        <f>IF(AND(ROW()-1&lt;=教室申込!$K$5,教室申込!$K$7=0,COUNTA(教室申込!$C$4)=1),INDEX(展開用!$D$2:$D$601,MATCH(ROW()-1,展開用!$E$2:$E$601,0)),"")</f>
        <v/>
      </c>
      <c r="J153" s="11"/>
      <c r="K153" s="11"/>
      <c r="L153" s="11" t="str">
        <f>IF(AND(ROW()-1&lt;=教室申込!$K$5,教室申込!$K$7=0,COUNTA(教室申込!$C$4)=1),INDEX(教室申込!$B$1:$B$212,$AW153),"")</f>
        <v/>
      </c>
      <c r="M153" s="11" t="str">
        <f>IF(AND(ROW()-1&lt;=教室申込!$K$5,教室申込!$K$7=0,COUNTA(教室申込!$C$4)=1),INDEX(教室申込!$C$1:$C$212,$AW153),"")</f>
        <v/>
      </c>
      <c r="N153" s="11"/>
      <c r="O153" s="12" t="str">
        <f>IF(AND(ROW()-1&lt;=教室申込!$K$5,教室申込!$K$7=0,COUNTA(教室申込!$C$4)=1),INDEX(展開用!$G$2:$G$601,MATCH(ROW()-1,展開用!$E$2:$E$601,0)),"")</f>
        <v/>
      </c>
      <c r="P153" s="11"/>
      <c r="Q153" s="11"/>
      <c r="R153" s="11"/>
      <c r="S153" s="11"/>
      <c r="T153" s="11"/>
      <c r="U153" s="11" t="str">
        <f>IF(AND(ROW()-1&lt;=教室申込!$K$5,教室申込!$K$7=0,COUNTA(教室申込!$C$4)=1),INDEX(展開用!$F$2:$F$601,MATCH(ROW()-1,展開用!$E$2:$E$601,0)),"")</f>
        <v/>
      </c>
      <c r="V153" s="11"/>
      <c r="W153" s="11"/>
      <c r="X153" s="11"/>
      <c r="Y153" s="11"/>
      <c r="Z153" s="11"/>
      <c r="AA153" s="11" t="str">
        <f>IF($AW153="","",IF(INDEX(教室申込!$J$1:$J$212,$AW153)="","",INDEX(教室申込!$J$1:$J$212,$AW153)))</f>
        <v/>
      </c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" t="str">
        <f>IF(AND(ROW()-1&lt;=教室申込!$K$5,教室申込!$K$7=0,COUNTA(教室申込!$C$4)=1),INDEX(展開用!$B$2:$B$601,MATCH(ROW()-1,展開用!$E$2:$E$601,0)),"")</f>
        <v/>
      </c>
      <c r="AX153" s="1"/>
      <c r="AY153" s="1"/>
    </row>
    <row r="154" spans="1:51" ht="24" customHeight="1">
      <c r="A154" s="11"/>
      <c r="B154" s="11"/>
      <c r="C154" s="11"/>
      <c r="D154" s="11"/>
      <c r="E154" s="11"/>
      <c r="F154" s="11"/>
      <c r="G154" s="11"/>
      <c r="H154" s="11" t="str">
        <f>IF(AND(ROW()-1&lt;=教室申込!$K$5,教室申込!$K$7=0,COUNTA(教室申込!$C$4)=1),INDEX(展開用!$C$2:$C$601,MATCH(ROW()-1,展開用!$E$2:$E$601,0)),"")</f>
        <v/>
      </c>
      <c r="I154" s="11" t="str">
        <f>IF(AND(ROW()-1&lt;=教室申込!$K$5,教室申込!$K$7=0,COUNTA(教室申込!$C$4)=1),INDEX(展開用!$D$2:$D$601,MATCH(ROW()-1,展開用!$E$2:$E$601,0)),"")</f>
        <v/>
      </c>
      <c r="J154" s="11"/>
      <c r="K154" s="11"/>
      <c r="L154" s="11" t="str">
        <f>IF(AND(ROW()-1&lt;=教室申込!$K$5,教室申込!$K$7=0,COUNTA(教室申込!$C$4)=1),INDEX(教室申込!$B$1:$B$212,$AW154),"")</f>
        <v/>
      </c>
      <c r="M154" s="11" t="str">
        <f>IF(AND(ROW()-1&lt;=教室申込!$K$5,教室申込!$K$7=0,COUNTA(教室申込!$C$4)=1),INDEX(教室申込!$C$1:$C$212,$AW154),"")</f>
        <v/>
      </c>
      <c r="N154" s="11"/>
      <c r="O154" s="12" t="str">
        <f>IF(AND(ROW()-1&lt;=教室申込!$K$5,教室申込!$K$7=0,COUNTA(教室申込!$C$4)=1),INDEX(展開用!$G$2:$G$601,MATCH(ROW()-1,展開用!$E$2:$E$601,0)),"")</f>
        <v/>
      </c>
      <c r="P154" s="11"/>
      <c r="Q154" s="11"/>
      <c r="R154" s="11"/>
      <c r="S154" s="11"/>
      <c r="T154" s="11"/>
      <c r="U154" s="11" t="str">
        <f>IF(AND(ROW()-1&lt;=教室申込!$K$5,教室申込!$K$7=0,COUNTA(教室申込!$C$4)=1),INDEX(展開用!$F$2:$F$601,MATCH(ROW()-1,展開用!$E$2:$E$601,0)),"")</f>
        <v/>
      </c>
      <c r="V154" s="11"/>
      <c r="W154" s="11"/>
      <c r="X154" s="11"/>
      <c r="Y154" s="11"/>
      <c r="Z154" s="11"/>
      <c r="AA154" s="11" t="str">
        <f>IF($AW154="","",IF(INDEX(教室申込!$J$1:$J$212,$AW154)="","",INDEX(教室申込!$J$1:$J$212,$AW154)))</f>
        <v/>
      </c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" t="str">
        <f>IF(AND(ROW()-1&lt;=教室申込!$K$5,教室申込!$K$7=0,COUNTA(教室申込!$C$4)=1),INDEX(展開用!$B$2:$B$601,MATCH(ROW()-1,展開用!$E$2:$E$601,0)),"")</f>
        <v/>
      </c>
      <c r="AX154" s="1"/>
      <c r="AY154" s="1"/>
    </row>
    <row r="155" spans="1:51" ht="24" customHeight="1">
      <c r="A155" s="11"/>
      <c r="B155" s="11"/>
      <c r="C155" s="11"/>
      <c r="D155" s="11"/>
      <c r="E155" s="11"/>
      <c r="F155" s="11"/>
      <c r="G155" s="11"/>
      <c r="H155" s="11" t="str">
        <f>IF(AND(ROW()-1&lt;=教室申込!$K$5,教室申込!$K$7=0,COUNTA(教室申込!$C$4)=1),INDEX(展開用!$C$2:$C$601,MATCH(ROW()-1,展開用!$E$2:$E$601,0)),"")</f>
        <v/>
      </c>
      <c r="I155" s="11" t="str">
        <f>IF(AND(ROW()-1&lt;=教室申込!$K$5,教室申込!$K$7=0,COUNTA(教室申込!$C$4)=1),INDEX(展開用!$D$2:$D$601,MATCH(ROW()-1,展開用!$E$2:$E$601,0)),"")</f>
        <v/>
      </c>
      <c r="J155" s="11"/>
      <c r="K155" s="11"/>
      <c r="L155" s="11" t="str">
        <f>IF(AND(ROW()-1&lt;=教室申込!$K$5,教室申込!$K$7=0,COUNTA(教室申込!$C$4)=1),INDEX(教室申込!$B$1:$B$212,$AW155),"")</f>
        <v/>
      </c>
      <c r="M155" s="11" t="str">
        <f>IF(AND(ROW()-1&lt;=教室申込!$K$5,教室申込!$K$7=0,COUNTA(教室申込!$C$4)=1),INDEX(教室申込!$C$1:$C$212,$AW155),"")</f>
        <v/>
      </c>
      <c r="N155" s="11"/>
      <c r="O155" s="12" t="str">
        <f>IF(AND(ROW()-1&lt;=教室申込!$K$5,教室申込!$K$7=0,COUNTA(教室申込!$C$4)=1),INDEX(展開用!$G$2:$G$601,MATCH(ROW()-1,展開用!$E$2:$E$601,0)),"")</f>
        <v/>
      </c>
      <c r="P155" s="11"/>
      <c r="Q155" s="11"/>
      <c r="R155" s="11"/>
      <c r="S155" s="11"/>
      <c r="T155" s="11"/>
      <c r="U155" s="11" t="str">
        <f>IF(AND(ROW()-1&lt;=教室申込!$K$5,教室申込!$K$7=0,COUNTA(教室申込!$C$4)=1),INDEX(展開用!$F$2:$F$601,MATCH(ROW()-1,展開用!$E$2:$E$601,0)),"")</f>
        <v/>
      </c>
      <c r="V155" s="11"/>
      <c r="W155" s="11"/>
      <c r="X155" s="11"/>
      <c r="Y155" s="11"/>
      <c r="Z155" s="11"/>
      <c r="AA155" s="11" t="str">
        <f>IF($AW155="","",IF(INDEX(教室申込!$J$1:$J$212,$AW155)="","",INDEX(教室申込!$J$1:$J$212,$AW155)))</f>
        <v/>
      </c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" t="str">
        <f>IF(AND(ROW()-1&lt;=教室申込!$K$5,教室申込!$K$7=0,COUNTA(教室申込!$C$4)=1),INDEX(展開用!$B$2:$B$601,MATCH(ROW()-1,展開用!$E$2:$E$601,0)),"")</f>
        <v/>
      </c>
      <c r="AX155" s="1"/>
      <c r="AY155" s="1"/>
    </row>
    <row r="156" spans="1:51" ht="24" customHeight="1">
      <c r="A156" s="11"/>
      <c r="B156" s="11"/>
      <c r="C156" s="11"/>
      <c r="D156" s="11"/>
      <c r="E156" s="11"/>
      <c r="F156" s="11"/>
      <c r="G156" s="11"/>
      <c r="H156" s="11" t="str">
        <f>IF(AND(ROW()-1&lt;=教室申込!$K$5,教室申込!$K$7=0,COUNTA(教室申込!$C$4)=1),INDEX(展開用!$C$2:$C$601,MATCH(ROW()-1,展開用!$E$2:$E$601,0)),"")</f>
        <v/>
      </c>
      <c r="I156" s="11" t="str">
        <f>IF(AND(ROW()-1&lt;=教室申込!$K$5,教室申込!$K$7=0,COUNTA(教室申込!$C$4)=1),INDEX(展開用!$D$2:$D$601,MATCH(ROW()-1,展開用!$E$2:$E$601,0)),"")</f>
        <v/>
      </c>
      <c r="J156" s="11"/>
      <c r="K156" s="11"/>
      <c r="L156" s="11" t="str">
        <f>IF(AND(ROW()-1&lt;=教室申込!$K$5,教室申込!$K$7=0,COUNTA(教室申込!$C$4)=1),INDEX(教室申込!$B$1:$B$212,$AW156),"")</f>
        <v/>
      </c>
      <c r="M156" s="11" t="str">
        <f>IF(AND(ROW()-1&lt;=教室申込!$K$5,教室申込!$K$7=0,COUNTA(教室申込!$C$4)=1),INDEX(教室申込!$C$1:$C$212,$AW156),"")</f>
        <v/>
      </c>
      <c r="N156" s="11"/>
      <c r="O156" s="12" t="str">
        <f>IF(AND(ROW()-1&lt;=教室申込!$K$5,教室申込!$K$7=0,COUNTA(教室申込!$C$4)=1),INDEX(展開用!$G$2:$G$601,MATCH(ROW()-1,展開用!$E$2:$E$601,0)),"")</f>
        <v/>
      </c>
      <c r="P156" s="11"/>
      <c r="Q156" s="11"/>
      <c r="R156" s="11"/>
      <c r="S156" s="11"/>
      <c r="T156" s="11"/>
      <c r="U156" s="11" t="str">
        <f>IF(AND(ROW()-1&lt;=教室申込!$K$5,教室申込!$K$7=0,COUNTA(教室申込!$C$4)=1),INDEX(展開用!$F$2:$F$601,MATCH(ROW()-1,展開用!$E$2:$E$601,0)),"")</f>
        <v/>
      </c>
      <c r="V156" s="11"/>
      <c r="W156" s="11"/>
      <c r="X156" s="11"/>
      <c r="Y156" s="11"/>
      <c r="Z156" s="11"/>
      <c r="AA156" s="11" t="str">
        <f>IF($AW156="","",IF(INDEX(教室申込!$J$1:$J$212,$AW156)="","",INDEX(教室申込!$J$1:$J$212,$AW156)))</f>
        <v/>
      </c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" t="str">
        <f>IF(AND(ROW()-1&lt;=教室申込!$K$5,教室申込!$K$7=0,COUNTA(教室申込!$C$4)=1),INDEX(展開用!$B$2:$B$601,MATCH(ROW()-1,展開用!$E$2:$E$601,0)),"")</f>
        <v/>
      </c>
      <c r="AX156" s="1"/>
      <c r="AY156" s="1"/>
    </row>
    <row r="157" spans="1:51" ht="24" customHeight="1">
      <c r="A157" s="11"/>
      <c r="B157" s="11"/>
      <c r="C157" s="11"/>
      <c r="D157" s="11"/>
      <c r="E157" s="11"/>
      <c r="F157" s="11"/>
      <c r="G157" s="11"/>
      <c r="H157" s="11" t="str">
        <f>IF(AND(ROW()-1&lt;=教室申込!$K$5,教室申込!$K$7=0,COUNTA(教室申込!$C$4)=1),INDEX(展開用!$C$2:$C$601,MATCH(ROW()-1,展開用!$E$2:$E$601,0)),"")</f>
        <v/>
      </c>
      <c r="I157" s="11" t="str">
        <f>IF(AND(ROW()-1&lt;=教室申込!$K$5,教室申込!$K$7=0,COUNTA(教室申込!$C$4)=1),INDEX(展開用!$D$2:$D$601,MATCH(ROW()-1,展開用!$E$2:$E$601,0)),"")</f>
        <v/>
      </c>
      <c r="J157" s="11"/>
      <c r="K157" s="11"/>
      <c r="L157" s="11" t="str">
        <f>IF(AND(ROW()-1&lt;=教室申込!$K$5,教室申込!$K$7=0,COUNTA(教室申込!$C$4)=1),INDEX(教室申込!$B$1:$B$212,$AW157),"")</f>
        <v/>
      </c>
      <c r="M157" s="11" t="str">
        <f>IF(AND(ROW()-1&lt;=教室申込!$K$5,教室申込!$K$7=0,COUNTA(教室申込!$C$4)=1),INDEX(教室申込!$C$1:$C$212,$AW157),"")</f>
        <v/>
      </c>
      <c r="N157" s="11"/>
      <c r="O157" s="12" t="str">
        <f>IF(AND(ROW()-1&lt;=教室申込!$K$5,教室申込!$K$7=0,COUNTA(教室申込!$C$4)=1),INDEX(展開用!$G$2:$G$601,MATCH(ROW()-1,展開用!$E$2:$E$601,0)),"")</f>
        <v/>
      </c>
      <c r="P157" s="11"/>
      <c r="Q157" s="11"/>
      <c r="R157" s="11"/>
      <c r="S157" s="11"/>
      <c r="T157" s="11"/>
      <c r="U157" s="11" t="str">
        <f>IF(AND(ROW()-1&lt;=教室申込!$K$5,教室申込!$K$7=0,COUNTA(教室申込!$C$4)=1),INDEX(展開用!$F$2:$F$601,MATCH(ROW()-1,展開用!$E$2:$E$601,0)),"")</f>
        <v/>
      </c>
      <c r="V157" s="11"/>
      <c r="W157" s="11"/>
      <c r="X157" s="11"/>
      <c r="Y157" s="11"/>
      <c r="Z157" s="11"/>
      <c r="AA157" s="11" t="str">
        <f>IF($AW157="","",IF(INDEX(教室申込!$J$1:$J$212,$AW157)="","",INDEX(教室申込!$J$1:$J$212,$AW157)))</f>
        <v/>
      </c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" t="str">
        <f>IF(AND(ROW()-1&lt;=教室申込!$K$5,教室申込!$K$7=0,COUNTA(教室申込!$C$4)=1),INDEX(展開用!$B$2:$B$601,MATCH(ROW()-1,展開用!$E$2:$E$601,0)),"")</f>
        <v/>
      </c>
      <c r="AX157" s="1"/>
      <c r="AY157" s="1"/>
    </row>
    <row r="158" spans="1:51" ht="24" customHeight="1">
      <c r="A158" s="11"/>
      <c r="B158" s="11"/>
      <c r="C158" s="11"/>
      <c r="D158" s="11"/>
      <c r="E158" s="11"/>
      <c r="F158" s="11"/>
      <c r="G158" s="11"/>
      <c r="H158" s="11" t="str">
        <f>IF(AND(ROW()-1&lt;=教室申込!$K$5,教室申込!$K$7=0,COUNTA(教室申込!$C$4)=1),INDEX(展開用!$C$2:$C$601,MATCH(ROW()-1,展開用!$E$2:$E$601,0)),"")</f>
        <v/>
      </c>
      <c r="I158" s="11" t="str">
        <f>IF(AND(ROW()-1&lt;=教室申込!$K$5,教室申込!$K$7=0,COUNTA(教室申込!$C$4)=1),INDEX(展開用!$D$2:$D$601,MATCH(ROW()-1,展開用!$E$2:$E$601,0)),"")</f>
        <v/>
      </c>
      <c r="J158" s="11"/>
      <c r="K158" s="11"/>
      <c r="L158" s="11" t="str">
        <f>IF(AND(ROW()-1&lt;=教室申込!$K$5,教室申込!$K$7=0,COUNTA(教室申込!$C$4)=1),INDEX(教室申込!$B$1:$B$212,$AW158),"")</f>
        <v/>
      </c>
      <c r="M158" s="11" t="str">
        <f>IF(AND(ROW()-1&lt;=教室申込!$K$5,教室申込!$K$7=0,COUNTA(教室申込!$C$4)=1),INDEX(教室申込!$C$1:$C$212,$AW158),"")</f>
        <v/>
      </c>
      <c r="N158" s="11"/>
      <c r="O158" s="12" t="str">
        <f>IF(AND(ROW()-1&lt;=教室申込!$K$5,教室申込!$K$7=0,COUNTA(教室申込!$C$4)=1),INDEX(展開用!$G$2:$G$601,MATCH(ROW()-1,展開用!$E$2:$E$601,0)),"")</f>
        <v/>
      </c>
      <c r="P158" s="11"/>
      <c r="Q158" s="11"/>
      <c r="R158" s="11"/>
      <c r="S158" s="11"/>
      <c r="T158" s="11"/>
      <c r="U158" s="11" t="str">
        <f>IF(AND(ROW()-1&lt;=教室申込!$K$5,教室申込!$K$7=0,COUNTA(教室申込!$C$4)=1),INDEX(展開用!$F$2:$F$601,MATCH(ROW()-1,展開用!$E$2:$E$601,0)),"")</f>
        <v/>
      </c>
      <c r="V158" s="11"/>
      <c r="W158" s="11"/>
      <c r="X158" s="11"/>
      <c r="Y158" s="11"/>
      <c r="Z158" s="11"/>
      <c r="AA158" s="11" t="str">
        <f>IF($AW158="","",IF(INDEX(教室申込!$J$1:$J$212,$AW158)="","",INDEX(教室申込!$J$1:$J$212,$AW158)))</f>
        <v/>
      </c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" t="str">
        <f>IF(AND(ROW()-1&lt;=教室申込!$K$5,教室申込!$K$7=0,COUNTA(教室申込!$C$4)=1),INDEX(展開用!$B$2:$B$601,MATCH(ROW()-1,展開用!$E$2:$E$601,0)),"")</f>
        <v/>
      </c>
      <c r="AX158" s="1"/>
      <c r="AY158" s="1"/>
    </row>
    <row r="159" spans="1:51" ht="24" customHeight="1">
      <c r="A159" s="11"/>
      <c r="B159" s="11"/>
      <c r="C159" s="11"/>
      <c r="D159" s="11"/>
      <c r="E159" s="11"/>
      <c r="F159" s="11"/>
      <c r="G159" s="11"/>
      <c r="H159" s="11" t="str">
        <f>IF(AND(ROW()-1&lt;=教室申込!$K$5,教室申込!$K$7=0,COUNTA(教室申込!$C$4)=1),INDEX(展開用!$C$2:$C$601,MATCH(ROW()-1,展開用!$E$2:$E$601,0)),"")</f>
        <v/>
      </c>
      <c r="I159" s="11" t="str">
        <f>IF(AND(ROW()-1&lt;=教室申込!$K$5,教室申込!$K$7=0,COUNTA(教室申込!$C$4)=1),INDEX(展開用!$D$2:$D$601,MATCH(ROW()-1,展開用!$E$2:$E$601,0)),"")</f>
        <v/>
      </c>
      <c r="J159" s="11"/>
      <c r="K159" s="11"/>
      <c r="L159" s="11" t="str">
        <f>IF(AND(ROW()-1&lt;=教室申込!$K$5,教室申込!$K$7=0,COUNTA(教室申込!$C$4)=1),INDEX(教室申込!$B$1:$B$212,$AW159),"")</f>
        <v/>
      </c>
      <c r="M159" s="11" t="str">
        <f>IF(AND(ROW()-1&lt;=教室申込!$K$5,教室申込!$K$7=0,COUNTA(教室申込!$C$4)=1),INDEX(教室申込!$C$1:$C$212,$AW159),"")</f>
        <v/>
      </c>
      <c r="N159" s="11"/>
      <c r="O159" s="12" t="str">
        <f>IF(AND(ROW()-1&lt;=教室申込!$K$5,教室申込!$K$7=0,COUNTA(教室申込!$C$4)=1),INDEX(展開用!$G$2:$G$601,MATCH(ROW()-1,展開用!$E$2:$E$601,0)),"")</f>
        <v/>
      </c>
      <c r="P159" s="11"/>
      <c r="Q159" s="11"/>
      <c r="R159" s="11"/>
      <c r="S159" s="11"/>
      <c r="T159" s="11"/>
      <c r="U159" s="11" t="str">
        <f>IF(AND(ROW()-1&lt;=教室申込!$K$5,教室申込!$K$7=0,COUNTA(教室申込!$C$4)=1),INDEX(展開用!$F$2:$F$601,MATCH(ROW()-1,展開用!$E$2:$E$601,0)),"")</f>
        <v/>
      </c>
      <c r="V159" s="11"/>
      <c r="W159" s="11"/>
      <c r="X159" s="11"/>
      <c r="Y159" s="11"/>
      <c r="Z159" s="11"/>
      <c r="AA159" s="11" t="str">
        <f>IF($AW159="","",IF(INDEX(教室申込!$J$1:$J$212,$AW159)="","",INDEX(教室申込!$J$1:$J$212,$AW159)))</f>
        <v/>
      </c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" t="str">
        <f>IF(AND(ROW()-1&lt;=教室申込!$K$5,教室申込!$K$7=0,COUNTA(教室申込!$C$4)=1),INDEX(展開用!$B$2:$B$601,MATCH(ROW()-1,展開用!$E$2:$E$601,0)),"")</f>
        <v/>
      </c>
      <c r="AX159" s="1"/>
      <c r="AY159" s="1"/>
    </row>
    <row r="160" spans="1:51" ht="24" customHeight="1">
      <c r="A160" s="11"/>
      <c r="B160" s="11"/>
      <c r="C160" s="11"/>
      <c r="D160" s="11"/>
      <c r="E160" s="11"/>
      <c r="F160" s="11"/>
      <c r="G160" s="11"/>
      <c r="H160" s="11" t="str">
        <f>IF(AND(ROW()-1&lt;=教室申込!$K$5,教室申込!$K$7=0,COUNTA(教室申込!$C$4)=1),INDEX(展開用!$C$2:$C$601,MATCH(ROW()-1,展開用!$E$2:$E$601,0)),"")</f>
        <v/>
      </c>
      <c r="I160" s="11" t="str">
        <f>IF(AND(ROW()-1&lt;=教室申込!$K$5,教室申込!$K$7=0,COUNTA(教室申込!$C$4)=1),INDEX(展開用!$D$2:$D$601,MATCH(ROW()-1,展開用!$E$2:$E$601,0)),"")</f>
        <v/>
      </c>
      <c r="J160" s="11"/>
      <c r="K160" s="11"/>
      <c r="L160" s="11" t="str">
        <f>IF(AND(ROW()-1&lt;=教室申込!$K$5,教室申込!$K$7=0,COUNTA(教室申込!$C$4)=1),INDEX(教室申込!$B$1:$B$212,$AW160),"")</f>
        <v/>
      </c>
      <c r="M160" s="11" t="str">
        <f>IF(AND(ROW()-1&lt;=教室申込!$K$5,教室申込!$K$7=0,COUNTA(教室申込!$C$4)=1),INDEX(教室申込!$C$1:$C$212,$AW160),"")</f>
        <v/>
      </c>
      <c r="N160" s="11"/>
      <c r="O160" s="12" t="str">
        <f>IF(AND(ROW()-1&lt;=教室申込!$K$5,教室申込!$K$7=0,COUNTA(教室申込!$C$4)=1),INDEX(展開用!$G$2:$G$601,MATCH(ROW()-1,展開用!$E$2:$E$601,0)),"")</f>
        <v/>
      </c>
      <c r="P160" s="11"/>
      <c r="Q160" s="11"/>
      <c r="R160" s="11"/>
      <c r="S160" s="11"/>
      <c r="T160" s="11"/>
      <c r="U160" s="11" t="str">
        <f>IF(AND(ROW()-1&lt;=教室申込!$K$5,教室申込!$K$7=0,COUNTA(教室申込!$C$4)=1),INDEX(展開用!$F$2:$F$601,MATCH(ROW()-1,展開用!$E$2:$E$601,0)),"")</f>
        <v/>
      </c>
      <c r="V160" s="11"/>
      <c r="W160" s="11"/>
      <c r="X160" s="11"/>
      <c r="Y160" s="11"/>
      <c r="Z160" s="11"/>
      <c r="AA160" s="11" t="str">
        <f>IF($AW160="","",IF(INDEX(教室申込!$J$1:$J$212,$AW160)="","",INDEX(教室申込!$J$1:$J$212,$AW160)))</f>
        <v/>
      </c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" t="str">
        <f>IF(AND(ROW()-1&lt;=教室申込!$K$5,教室申込!$K$7=0,COUNTA(教室申込!$C$4)=1),INDEX(展開用!$B$2:$B$601,MATCH(ROW()-1,展開用!$E$2:$E$601,0)),"")</f>
        <v/>
      </c>
      <c r="AX160" s="1"/>
      <c r="AY160" s="1"/>
    </row>
    <row r="161" spans="1:51" ht="24" customHeight="1">
      <c r="A161" s="11"/>
      <c r="B161" s="11"/>
      <c r="C161" s="11"/>
      <c r="D161" s="11"/>
      <c r="E161" s="11"/>
      <c r="F161" s="11"/>
      <c r="G161" s="11"/>
      <c r="H161" s="11" t="str">
        <f>IF(AND(ROW()-1&lt;=教室申込!$K$5,教室申込!$K$7=0,COUNTA(教室申込!$C$4)=1),INDEX(展開用!$C$2:$C$601,MATCH(ROW()-1,展開用!$E$2:$E$601,0)),"")</f>
        <v/>
      </c>
      <c r="I161" s="11" t="str">
        <f>IF(AND(ROW()-1&lt;=教室申込!$K$5,教室申込!$K$7=0,COUNTA(教室申込!$C$4)=1),INDEX(展開用!$D$2:$D$601,MATCH(ROW()-1,展開用!$E$2:$E$601,0)),"")</f>
        <v/>
      </c>
      <c r="J161" s="11"/>
      <c r="K161" s="11"/>
      <c r="L161" s="11" t="str">
        <f>IF(AND(ROW()-1&lt;=教室申込!$K$5,教室申込!$K$7=0,COUNTA(教室申込!$C$4)=1),INDEX(教室申込!$B$1:$B$212,$AW161),"")</f>
        <v/>
      </c>
      <c r="M161" s="11" t="str">
        <f>IF(AND(ROW()-1&lt;=教室申込!$K$5,教室申込!$K$7=0,COUNTA(教室申込!$C$4)=1),INDEX(教室申込!$C$1:$C$212,$AW161),"")</f>
        <v/>
      </c>
      <c r="N161" s="11"/>
      <c r="O161" s="12" t="str">
        <f>IF(AND(ROW()-1&lt;=教室申込!$K$5,教室申込!$K$7=0,COUNTA(教室申込!$C$4)=1),INDEX(展開用!$G$2:$G$601,MATCH(ROW()-1,展開用!$E$2:$E$601,0)),"")</f>
        <v/>
      </c>
      <c r="P161" s="11"/>
      <c r="Q161" s="11"/>
      <c r="R161" s="11"/>
      <c r="S161" s="11"/>
      <c r="T161" s="11"/>
      <c r="U161" s="11" t="str">
        <f>IF(AND(ROW()-1&lt;=教室申込!$K$5,教室申込!$K$7=0,COUNTA(教室申込!$C$4)=1),INDEX(展開用!$F$2:$F$601,MATCH(ROW()-1,展開用!$E$2:$E$601,0)),"")</f>
        <v/>
      </c>
      <c r="V161" s="11"/>
      <c r="W161" s="11"/>
      <c r="X161" s="11"/>
      <c r="Y161" s="11"/>
      <c r="Z161" s="11"/>
      <c r="AA161" s="11" t="str">
        <f>IF($AW161="","",IF(INDEX(教室申込!$J$1:$J$212,$AW161)="","",INDEX(教室申込!$J$1:$J$212,$AW161)))</f>
        <v/>
      </c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" t="str">
        <f>IF(AND(ROW()-1&lt;=教室申込!$K$5,教室申込!$K$7=0,COUNTA(教室申込!$C$4)=1),INDEX(展開用!$B$2:$B$601,MATCH(ROW()-1,展開用!$E$2:$E$601,0)),"")</f>
        <v/>
      </c>
      <c r="AX161" s="1"/>
      <c r="AY161" s="1"/>
    </row>
    <row r="162" spans="1:51" ht="24" customHeight="1">
      <c r="A162" s="11"/>
      <c r="B162" s="11"/>
      <c r="C162" s="11"/>
      <c r="D162" s="11"/>
      <c r="E162" s="11"/>
      <c r="F162" s="11"/>
      <c r="G162" s="11"/>
      <c r="H162" s="11" t="str">
        <f>IF(AND(ROW()-1&lt;=教室申込!$K$5,教室申込!$K$7=0,COUNTA(教室申込!$C$4)=1),INDEX(展開用!$C$2:$C$601,MATCH(ROW()-1,展開用!$E$2:$E$601,0)),"")</f>
        <v/>
      </c>
      <c r="I162" s="11" t="str">
        <f>IF(AND(ROW()-1&lt;=教室申込!$K$5,教室申込!$K$7=0,COUNTA(教室申込!$C$4)=1),INDEX(展開用!$D$2:$D$601,MATCH(ROW()-1,展開用!$E$2:$E$601,0)),"")</f>
        <v/>
      </c>
      <c r="J162" s="11"/>
      <c r="K162" s="11"/>
      <c r="L162" s="11" t="str">
        <f>IF(AND(ROW()-1&lt;=教室申込!$K$5,教室申込!$K$7=0,COUNTA(教室申込!$C$4)=1),INDEX(教室申込!$B$1:$B$212,$AW162),"")</f>
        <v/>
      </c>
      <c r="M162" s="11" t="str">
        <f>IF(AND(ROW()-1&lt;=教室申込!$K$5,教室申込!$K$7=0,COUNTA(教室申込!$C$4)=1),INDEX(教室申込!$C$1:$C$212,$AW162),"")</f>
        <v/>
      </c>
      <c r="N162" s="11"/>
      <c r="O162" s="12" t="str">
        <f>IF(AND(ROW()-1&lt;=教室申込!$K$5,教室申込!$K$7=0,COUNTA(教室申込!$C$4)=1),INDEX(展開用!$G$2:$G$601,MATCH(ROW()-1,展開用!$E$2:$E$601,0)),"")</f>
        <v/>
      </c>
      <c r="P162" s="11"/>
      <c r="Q162" s="11"/>
      <c r="R162" s="11"/>
      <c r="S162" s="11"/>
      <c r="T162" s="11"/>
      <c r="U162" s="11" t="str">
        <f>IF(AND(ROW()-1&lt;=教室申込!$K$5,教室申込!$K$7=0,COUNTA(教室申込!$C$4)=1),INDEX(展開用!$F$2:$F$601,MATCH(ROW()-1,展開用!$E$2:$E$601,0)),"")</f>
        <v/>
      </c>
      <c r="V162" s="11"/>
      <c r="W162" s="11"/>
      <c r="X162" s="11"/>
      <c r="Y162" s="11"/>
      <c r="Z162" s="11"/>
      <c r="AA162" s="11" t="str">
        <f>IF($AW162="","",IF(INDEX(教室申込!$J$1:$J$212,$AW162)="","",INDEX(教室申込!$J$1:$J$212,$AW162)))</f>
        <v/>
      </c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" t="str">
        <f>IF(AND(ROW()-1&lt;=教室申込!$K$5,教室申込!$K$7=0,COUNTA(教室申込!$C$4)=1),INDEX(展開用!$B$2:$B$601,MATCH(ROW()-1,展開用!$E$2:$E$601,0)),"")</f>
        <v/>
      </c>
      <c r="AX162" s="1"/>
      <c r="AY162" s="1"/>
    </row>
    <row r="163" spans="1:51" ht="24" customHeight="1">
      <c r="A163" s="11"/>
      <c r="B163" s="11"/>
      <c r="C163" s="11"/>
      <c r="D163" s="11"/>
      <c r="E163" s="11"/>
      <c r="F163" s="11"/>
      <c r="G163" s="11"/>
      <c r="H163" s="11" t="str">
        <f>IF(AND(ROW()-1&lt;=教室申込!$K$5,教室申込!$K$7=0,COUNTA(教室申込!$C$4)=1),INDEX(展開用!$C$2:$C$601,MATCH(ROW()-1,展開用!$E$2:$E$601,0)),"")</f>
        <v/>
      </c>
      <c r="I163" s="11" t="str">
        <f>IF(AND(ROW()-1&lt;=教室申込!$K$5,教室申込!$K$7=0,COUNTA(教室申込!$C$4)=1),INDEX(展開用!$D$2:$D$601,MATCH(ROW()-1,展開用!$E$2:$E$601,0)),"")</f>
        <v/>
      </c>
      <c r="J163" s="11"/>
      <c r="K163" s="11"/>
      <c r="L163" s="11" t="str">
        <f>IF(AND(ROW()-1&lt;=教室申込!$K$5,教室申込!$K$7=0,COUNTA(教室申込!$C$4)=1),INDEX(教室申込!$B$1:$B$212,$AW163),"")</f>
        <v/>
      </c>
      <c r="M163" s="11" t="str">
        <f>IF(AND(ROW()-1&lt;=教室申込!$K$5,教室申込!$K$7=0,COUNTA(教室申込!$C$4)=1),INDEX(教室申込!$C$1:$C$212,$AW163),"")</f>
        <v/>
      </c>
      <c r="N163" s="11"/>
      <c r="O163" s="12" t="str">
        <f>IF(AND(ROW()-1&lt;=教室申込!$K$5,教室申込!$K$7=0,COUNTA(教室申込!$C$4)=1),INDEX(展開用!$G$2:$G$601,MATCH(ROW()-1,展開用!$E$2:$E$601,0)),"")</f>
        <v/>
      </c>
      <c r="P163" s="11"/>
      <c r="Q163" s="11"/>
      <c r="R163" s="11"/>
      <c r="S163" s="11"/>
      <c r="T163" s="11"/>
      <c r="U163" s="11" t="str">
        <f>IF(AND(ROW()-1&lt;=教室申込!$K$5,教室申込!$K$7=0,COUNTA(教室申込!$C$4)=1),INDEX(展開用!$F$2:$F$601,MATCH(ROW()-1,展開用!$E$2:$E$601,0)),"")</f>
        <v/>
      </c>
      <c r="V163" s="11"/>
      <c r="W163" s="11"/>
      <c r="X163" s="11"/>
      <c r="Y163" s="11"/>
      <c r="Z163" s="11"/>
      <c r="AA163" s="11" t="str">
        <f>IF($AW163="","",IF(INDEX(教室申込!$J$1:$J$212,$AW163)="","",INDEX(教室申込!$J$1:$J$212,$AW163)))</f>
        <v/>
      </c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" t="str">
        <f>IF(AND(ROW()-1&lt;=教室申込!$K$5,教室申込!$K$7=0,COUNTA(教室申込!$C$4)=1),INDEX(展開用!$B$2:$B$601,MATCH(ROW()-1,展開用!$E$2:$E$601,0)),"")</f>
        <v/>
      </c>
      <c r="AX163" s="1"/>
      <c r="AY163" s="1"/>
    </row>
    <row r="164" spans="1:51" ht="24" customHeight="1">
      <c r="A164" s="11"/>
      <c r="B164" s="11"/>
      <c r="C164" s="11"/>
      <c r="D164" s="11"/>
      <c r="E164" s="11"/>
      <c r="F164" s="11"/>
      <c r="G164" s="11"/>
      <c r="H164" s="11" t="str">
        <f>IF(AND(ROW()-1&lt;=教室申込!$K$5,教室申込!$K$7=0,COUNTA(教室申込!$C$4)=1),INDEX(展開用!$C$2:$C$601,MATCH(ROW()-1,展開用!$E$2:$E$601,0)),"")</f>
        <v/>
      </c>
      <c r="I164" s="11" t="str">
        <f>IF(AND(ROW()-1&lt;=教室申込!$K$5,教室申込!$K$7=0,COUNTA(教室申込!$C$4)=1),INDEX(展開用!$D$2:$D$601,MATCH(ROW()-1,展開用!$E$2:$E$601,0)),"")</f>
        <v/>
      </c>
      <c r="J164" s="11"/>
      <c r="K164" s="11"/>
      <c r="L164" s="11" t="str">
        <f>IF(AND(ROW()-1&lt;=教室申込!$K$5,教室申込!$K$7=0,COUNTA(教室申込!$C$4)=1),INDEX(教室申込!$B$1:$B$212,$AW164),"")</f>
        <v/>
      </c>
      <c r="M164" s="11" t="str">
        <f>IF(AND(ROW()-1&lt;=教室申込!$K$5,教室申込!$K$7=0,COUNTA(教室申込!$C$4)=1),INDEX(教室申込!$C$1:$C$212,$AW164),"")</f>
        <v/>
      </c>
      <c r="N164" s="11"/>
      <c r="O164" s="12" t="str">
        <f>IF(AND(ROW()-1&lt;=教室申込!$K$5,教室申込!$K$7=0,COUNTA(教室申込!$C$4)=1),INDEX(展開用!$G$2:$G$601,MATCH(ROW()-1,展開用!$E$2:$E$601,0)),"")</f>
        <v/>
      </c>
      <c r="P164" s="11"/>
      <c r="Q164" s="11"/>
      <c r="R164" s="11"/>
      <c r="S164" s="11"/>
      <c r="T164" s="11"/>
      <c r="U164" s="11" t="str">
        <f>IF(AND(ROW()-1&lt;=教室申込!$K$5,教室申込!$K$7=0,COUNTA(教室申込!$C$4)=1),INDEX(展開用!$F$2:$F$601,MATCH(ROW()-1,展開用!$E$2:$E$601,0)),"")</f>
        <v/>
      </c>
      <c r="V164" s="11"/>
      <c r="W164" s="11"/>
      <c r="X164" s="11"/>
      <c r="Y164" s="11"/>
      <c r="Z164" s="11"/>
      <c r="AA164" s="11" t="str">
        <f>IF($AW164="","",IF(INDEX(教室申込!$J$1:$J$212,$AW164)="","",INDEX(教室申込!$J$1:$J$212,$AW164)))</f>
        <v/>
      </c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" t="str">
        <f>IF(AND(ROW()-1&lt;=教室申込!$K$5,教室申込!$K$7=0,COUNTA(教室申込!$C$4)=1),INDEX(展開用!$B$2:$B$601,MATCH(ROW()-1,展開用!$E$2:$E$601,0)),"")</f>
        <v/>
      </c>
      <c r="AX164" s="1"/>
      <c r="AY164" s="1"/>
    </row>
    <row r="165" spans="1:51" ht="24" customHeight="1">
      <c r="A165" s="11"/>
      <c r="B165" s="11"/>
      <c r="C165" s="11"/>
      <c r="D165" s="11"/>
      <c r="E165" s="11"/>
      <c r="F165" s="11"/>
      <c r="G165" s="11"/>
      <c r="H165" s="11" t="str">
        <f>IF(AND(ROW()-1&lt;=教室申込!$K$5,教室申込!$K$7=0,COUNTA(教室申込!$C$4)=1),INDEX(展開用!$C$2:$C$601,MATCH(ROW()-1,展開用!$E$2:$E$601,0)),"")</f>
        <v/>
      </c>
      <c r="I165" s="11" t="str">
        <f>IF(AND(ROW()-1&lt;=教室申込!$K$5,教室申込!$K$7=0,COUNTA(教室申込!$C$4)=1),INDEX(展開用!$D$2:$D$601,MATCH(ROW()-1,展開用!$E$2:$E$601,0)),"")</f>
        <v/>
      </c>
      <c r="J165" s="11"/>
      <c r="K165" s="11"/>
      <c r="L165" s="11" t="str">
        <f>IF(AND(ROW()-1&lt;=教室申込!$K$5,教室申込!$K$7=0,COUNTA(教室申込!$C$4)=1),INDEX(教室申込!$B$1:$B$212,$AW165),"")</f>
        <v/>
      </c>
      <c r="M165" s="11" t="str">
        <f>IF(AND(ROW()-1&lt;=教室申込!$K$5,教室申込!$K$7=0,COUNTA(教室申込!$C$4)=1),INDEX(教室申込!$C$1:$C$212,$AW165),"")</f>
        <v/>
      </c>
      <c r="N165" s="11"/>
      <c r="O165" s="12" t="str">
        <f>IF(AND(ROW()-1&lt;=教室申込!$K$5,教室申込!$K$7=0,COUNTA(教室申込!$C$4)=1),INDEX(展開用!$G$2:$G$601,MATCH(ROW()-1,展開用!$E$2:$E$601,0)),"")</f>
        <v/>
      </c>
      <c r="P165" s="11"/>
      <c r="Q165" s="11"/>
      <c r="R165" s="11"/>
      <c r="S165" s="11"/>
      <c r="T165" s="11"/>
      <c r="U165" s="11" t="str">
        <f>IF(AND(ROW()-1&lt;=教室申込!$K$5,教室申込!$K$7=0,COUNTA(教室申込!$C$4)=1),INDEX(展開用!$F$2:$F$601,MATCH(ROW()-1,展開用!$E$2:$E$601,0)),"")</f>
        <v/>
      </c>
      <c r="V165" s="11"/>
      <c r="W165" s="11"/>
      <c r="X165" s="11"/>
      <c r="Y165" s="11"/>
      <c r="Z165" s="11"/>
      <c r="AA165" s="11" t="str">
        <f>IF($AW165="","",IF(INDEX(教室申込!$J$1:$J$212,$AW165)="","",INDEX(教室申込!$J$1:$J$212,$AW165)))</f>
        <v/>
      </c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" t="str">
        <f>IF(AND(ROW()-1&lt;=教室申込!$K$5,教室申込!$K$7=0,COUNTA(教室申込!$C$4)=1),INDEX(展開用!$B$2:$B$601,MATCH(ROW()-1,展開用!$E$2:$E$601,0)),"")</f>
        <v/>
      </c>
      <c r="AX165" s="1"/>
      <c r="AY165" s="1"/>
    </row>
    <row r="166" spans="1:51" ht="24" customHeight="1">
      <c r="A166" s="11"/>
      <c r="B166" s="11"/>
      <c r="C166" s="11"/>
      <c r="D166" s="11"/>
      <c r="E166" s="11"/>
      <c r="F166" s="11"/>
      <c r="G166" s="11"/>
      <c r="H166" s="11" t="str">
        <f>IF(AND(ROW()-1&lt;=教室申込!$K$5,教室申込!$K$7=0,COUNTA(教室申込!$C$4)=1),INDEX(展開用!$C$2:$C$601,MATCH(ROW()-1,展開用!$E$2:$E$601,0)),"")</f>
        <v/>
      </c>
      <c r="I166" s="11" t="str">
        <f>IF(AND(ROW()-1&lt;=教室申込!$K$5,教室申込!$K$7=0,COUNTA(教室申込!$C$4)=1),INDEX(展開用!$D$2:$D$601,MATCH(ROW()-1,展開用!$E$2:$E$601,0)),"")</f>
        <v/>
      </c>
      <c r="J166" s="11"/>
      <c r="K166" s="11"/>
      <c r="L166" s="11" t="str">
        <f>IF(AND(ROW()-1&lt;=教室申込!$K$5,教室申込!$K$7=0,COUNTA(教室申込!$C$4)=1),INDEX(教室申込!$B$1:$B$212,$AW166),"")</f>
        <v/>
      </c>
      <c r="M166" s="11" t="str">
        <f>IF(AND(ROW()-1&lt;=教室申込!$K$5,教室申込!$K$7=0,COUNTA(教室申込!$C$4)=1),INDEX(教室申込!$C$1:$C$212,$AW166),"")</f>
        <v/>
      </c>
      <c r="N166" s="11"/>
      <c r="O166" s="12" t="str">
        <f>IF(AND(ROW()-1&lt;=教室申込!$K$5,教室申込!$K$7=0,COUNTA(教室申込!$C$4)=1),INDEX(展開用!$G$2:$G$601,MATCH(ROW()-1,展開用!$E$2:$E$601,0)),"")</f>
        <v/>
      </c>
      <c r="P166" s="11"/>
      <c r="Q166" s="11"/>
      <c r="R166" s="11"/>
      <c r="S166" s="11"/>
      <c r="T166" s="11"/>
      <c r="U166" s="11" t="str">
        <f>IF(AND(ROW()-1&lt;=教室申込!$K$5,教室申込!$K$7=0,COUNTA(教室申込!$C$4)=1),INDEX(展開用!$F$2:$F$601,MATCH(ROW()-1,展開用!$E$2:$E$601,0)),"")</f>
        <v/>
      </c>
      <c r="V166" s="11"/>
      <c r="W166" s="11"/>
      <c r="X166" s="11"/>
      <c r="Y166" s="11"/>
      <c r="Z166" s="11"/>
      <c r="AA166" s="11" t="str">
        <f>IF($AW166="","",IF(INDEX(教室申込!$J$1:$J$212,$AW166)="","",INDEX(教室申込!$J$1:$J$212,$AW166)))</f>
        <v/>
      </c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" t="str">
        <f>IF(AND(ROW()-1&lt;=教室申込!$K$5,教室申込!$K$7=0,COUNTA(教室申込!$C$4)=1),INDEX(展開用!$B$2:$B$601,MATCH(ROW()-1,展開用!$E$2:$E$601,0)),"")</f>
        <v/>
      </c>
      <c r="AX166" s="1"/>
      <c r="AY166" s="1"/>
    </row>
    <row r="167" spans="1:51" ht="24" customHeight="1">
      <c r="A167" s="11"/>
      <c r="B167" s="11"/>
      <c r="C167" s="11"/>
      <c r="D167" s="11"/>
      <c r="E167" s="11"/>
      <c r="F167" s="11"/>
      <c r="G167" s="11"/>
      <c r="H167" s="11" t="str">
        <f>IF(AND(ROW()-1&lt;=教室申込!$K$5,教室申込!$K$7=0,COUNTA(教室申込!$C$4)=1),INDEX(展開用!$C$2:$C$601,MATCH(ROW()-1,展開用!$E$2:$E$601,0)),"")</f>
        <v/>
      </c>
      <c r="I167" s="11" t="str">
        <f>IF(AND(ROW()-1&lt;=教室申込!$K$5,教室申込!$K$7=0,COUNTA(教室申込!$C$4)=1),INDEX(展開用!$D$2:$D$601,MATCH(ROW()-1,展開用!$E$2:$E$601,0)),"")</f>
        <v/>
      </c>
      <c r="J167" s="11"/>
      <c r="K167" s="11"/>
      <c r="L167" s="11" t="str">
        <f>IF(AND(ROW()-1&lt;=教室申込!$K$5,教室申込!$K$7=0,COUNTA(教室申込!$C$4)=1),INDEX(教室申込!$B$1:$B$212,$AW167),"")</f>
        <v/>
      </c>
      <c r="M167" s="11" t="str">
        <f>IF(AND(ROW()-1&lt;=教室申込!$K$5,教室申込!$K$7=0,COUNTA(教室申込!$C$4)=1),INDEX(教室申込!$C$1:$C$212,$AW167),"")</f>
        <v/>
      </c>
      <c r="N167" s="11"/>
      <c r="O167" s="12" t="str">
        <f>IF(AND(ROW()-1&lt;=教室申込!$K$5,教室申込!$K$7=0,COUNTA(教室申込!$C$4)=1),INDEX(展開用!$G$2:$G$601,MATCH(ROW()-1,展開用!$E$2:$E$601,0)),"")</f>
        <v/>
      </c>
      <c r="P167" s="11"/>
      <c r="Q167" s="11"/>
      <c r="R167" s="11"/>
      <c r="S167" s="11"/>
      <c r="T167" s="11"/>
      <c r="U167" s="11" t="str">
        <f>IF(AND(ROW()-1&lt;=教室申込!$K$5,教室申込!$K$7=0,COUNTA(教室申込!$C$4)=1),INDEX(展開用!$F$2:$F$601,MATCH(ROW()-1,展開用!$E$2:$E$601,0)),"")</f>
        <v/>
      </c>
      <c r="V167" s="11"/>
      <c r="W167" s="11"/>
      <c r="X167" s="11"/>
      <c r="Y167" s="11"/>
      <c r="Z167" s="11"/>
      <c r="AA167" s="11" t="str">
        <f>IF($AW167="","",IF(INDEX(教室申込!$J$1:$J$212,$AW167)="","",INDEX(教室申込!$J$1:$J$212,$AW167)))</f>
        <v/>
      </c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" t="str">
        <f>IF(AND(ROW()-1&lt;=教室申込!$K$5,教室申込!$K$7=0,COUNTA(教室申込!$C$4)=1),INDEX(展開用!$B$2:$B$601,MATCH(ROW()-1,展開用!$E$2:$E$601,0)),"")</f>
        <v/>
      </c>
      <c r="AX167" s="1"/>
      <c r="AY167" s="1"/>
    </row>
    <row r="168" spans="1:51" ht="24" customHeight="1">
      <c r="A168" s="11"/>
      <c r="B168" s="11"/>
      <c r="C168" s="11"/>
      <c r="D168" s="11"/>
      <c r="E168" s="11"/>
      <c r="F168" s="11"/>
      <c r="G168" s="11"/>
      <c r="H168" s="11" t="str">
        <f>IF(AND(ROW()-1&lt;=教室申込!$K$5,教室申込!$K$7=0,COUNTA(教室申込!$C$4)=1),INDEX(展開用!$C$2:$C$601,MATCH(ROW()-1,展開用!$E$2:$E$601,0)),"")</f>
        <v/>
      </c>
      <c r="I168" s="11" t="str">
        <f>IF(AND(ROW()-1&lt;=教室申込!$K$5,教室申込!$K$7=0,COUNTA(教室申込!$C$4)=1),INDEX(展開用!$D$2:$D$601,MATCH(ROW()-1,展開用!$E$2:$E$601,0)),"")</f>
        <v/>
      </c>
      <c r="J168" s="11"/>
      <c r="K168" s="11"/>
      <c r="L168" s="11" t="str">
        <f>IF(AND(ROW()-1&lt;=教室申込!$K$5,教室申込!$K$7=0,COUNTA(教室申込!$C$4)=1),INDEX(教室申込!$B$1:$B$212,$AW168),"")</f>
        <v/>
      </c>
      <c r="M168" s="11" t="str">
        <f>IF(AND(ROW()-1&lt;=教室申込!$K$5,教室申込!$K$7=0,COUNTA(教室申込!$C$4)=1),INDEX(教室申込!$C$1:$C$212,$AW168),"")</f>
        <v/>
      </c>
      <c r="N168" s="11"/>
      <c r="O168" s="12" t="str">
        <f>IF(AND(ROW()-1&lt;=教室申込!$K$5,教室申込!$K$7=0,COUNTA(教室申込!$C$4)=1),INDEX(展開用!$G$2:$G$601,MATCH(ROW()-1,展開用!$E$2:$E$601,0)),"")</f>
        <v/>
      </c>
      <c r="P168" s="11"/>
      <c r="Q168" s="11"/>
      <c r="R168" s="11"/>
      <c r="S168" s="11"/>
      <c r="T168" s="11"/>
      <c r="U168" s="11" t="str">
        <f>IF(AND(ROW()-1&lt;=教室申込!$K$5,教室申込!$K$7=0,COUNTA(教室申込!$C$4)=1),INDEX(展開用!$F$2:$F$601,MATCH(ROW()-1,展開用!$E$2:$E$601,0)),"")</f>
        <v/>
      </c>
      <c r="V168" s="11"/>
      <c r="W168" s="11"/>
      <c r="X168" s="11"/>
      <c r="Y168" s="11"/>
      <c r="Z168" s="11"/>
      <c r="AA168" s="11" t="str">
        <f>IF($AW168="","",IF(INDEX(教室申込!$J$1:$J$212,$AW168)="","",INDEX(教室申込!$J$1:$J$212,$AW168)))</f>
        <v/>
      </c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" t="str">
        <f>IF(AND(ROW()-1&lt;=教室申込!$K$5,教室申込!$K$7=0,COUNTA(教室申込!$C$4)=1),INDEX(展開用!$B$2:$B$601,MATCH(ROW()-1,展開用!$E$2:$E$601,0)),"")</f>
        <v/>
      </c>
      <c r="AX168" s="1"/>
      <c r="AY168" s="1"/>
    </row>
    <row r="169" spans="1:51" ht="24" customHeight="1">
      <c r="A169" s="11"/>
      <c r="B169" s="11"/>
      <c r="C169" s="11"/>
      <c r="D169" s="11"/>
      <c r="E169" s="11"/>
      <c r="F169" s="11"/>
      <c r="G169" s="11"/>
      <c r="H169" s="11" t="str">
        <f>IF(AND(ROW()-1&lt;=教室申込!$K$5,教室申込!$K$7=0,COUNTA(教室申込!$C$4)=1),INDEX(展開用!$C$2:$C$601,MATCH(ROW()-1,展開用!$E$2:$E$601,0)),"")</f>
        <v/>
      </c>
      <c r="I169" s="11" t="str">
        <f>IF(AND(ROW()-1&lt;=教室申込!$K$5,教室申込!$K$7=0,COUNTA(教室申込!$C$4)=1),INDEX(展開用!$D$2:$D$601,MATCH(ROW()-1,展開用!$E$2:$E$601,0)),"")</f>
        <v/>
      </c>
      <c r="J169" s="11"/>
      <c r="K169" s="11"/>
      <c r="L169" s="11" t="str">
        <f>IF(AND(ROW()-1&lt;=教室申込!$K$5,教室申込!$K$7=0,COUNTA(教室申込!$C$4)=1),INDEX(教室申込!$B$1:$B$212,$AW169),"")</f>
        <v/>
      </c>
      <c r="M169" s="11" t="str">
        <f>IF(AND(ROW()-1&lt;=教室申込!$K$5,教室申込!$K$7=0,COUNTA(教室申込!$C$4)=1),INDEX(教室申込!$C$1:$C$212,$AW169),"")</f>
        <v/>
      </c>
      <c r="N169" s="11"/>
      <c r="O169" s="12" t="str">
        <f>IF(AND(ROW()-1&lt;=教室申込!$K$5,教室申込!$K$7=0,COUNTA(教室申込!$C$4)=1),INDEX(展開用!$G$2:$G$601,MATCH(ROW()-1,展開用!$E$2:$E$601,0)),"")</f>
        <v/>
      </c>
      <c r="P169" s="11"/>
      <c r="Q169" s="11"/>
      <c r="R169" s="11"/>
      <c r="S169" s="11"/>
      <c r="T169" s="11"/>
      <c r="U169" s="11" t="str">
        <f>IF(AND(ROW()-1&lt;=教室申込!$K$5,教室申込!$K$7=0,COUNTA(教室申込!$C$4)=1),INDEX(展開用!$F$2:$F$601,MATCH(ROW()-1,展開用!$E$2:$E$601,0)),"")</f>
        <v/>
      </c>
      <c r="V169" s="11"/>
      <c r="W169" s="11"/>
      <c r="X169" s="11"/>
      <c r="Y169" s="11"/>
      <c r="Z169" s="11"/>
      <c r="AA169" s="11" t="str">
        <f>IF($AW169="","",IF(INDEX(教室申込!$J$1:$J$212,$AW169)="","",INDEX(教室申込!$J$1:$J$212,$AW169)))</f>
        <v/>
      </c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" t="str">
        <f>IF(AND(ROW()-1&lt;=教室申込!$K$5,教室申込!$K$7=0,COUNTA(教室申込!$C$4)=1),INDEX(展開用!$B$2:$B$601,MATCH(ROW()-1,展開用!$E$2:$E$601,0)),"")</f>
        <v/>
      </c>
      <c r="AX169" s="1"/>
      <c r="AY169" s="1"/>
    </row>
    <row r="170" spans="1:51" ht="24" customHeight="1">
      <c r="A170" s="11"/>
      <c r="B170" s="11"/>
      <c r="C170" s="11"/>
      <c r="D170" s="11"/>
      <c r="E170" s="11"/>
      <c r="F170" s="11"/>
      <c r="G170" s="11"/>
      <c r="H170" s="11" t="str">
        <f>IF(AND(ROW()-1&lt;=教室申込!$K$5,教室申込!$K$7=0,COUNTA(教室申込!$C$4)=1),INDEX(展開用!$C$2:$C$601,MATCH(ROW()-1,展開用!$E$2:$E$601,0)),"")</f>
        <v/>
      </c>
      <c r="I170" s="11" t="str">
        <f>IF(AND(ROW()-1&lt;=教室申込!$K$5,教室申込!$K$7=0,COUNTA(教室申込!$C$4)=1),INDEX(展開用!$D$2:$D$601,MATCH(ROW()-1,展開用!$E$2:$E$601,0)),"")</f>
        <v/>
      </c>
      <c r="J170" s="11"/>
      <c r="K170" s="11"/>
      <c r="L170" s="11" t="str">
        <f>IF(AND(ROW()-1&lt;=教室申込!$K$5,教室申込!$K$7=0,COUNTA(教室申込!$C$4)=1),INDEX(教室申込!$B$1:$B$212,$AW170),"")</f>
        <v/>
      </c>
      <c r="M170" s="11" t="str">
        <f>IF(AND(ROW()-1&lt;=教室申込!$K$5,教室申込!$K$7=0,COUNTA(教室申込!$C$4)=1),INDEX(教室申込!$C$1:$C$212,$AW170),"")</f>
        <v/>
      </c>
      <c r="N170" s="11"/>
      <c r="O170" s="12" t="str">
        <f>IF(AND(ROW()-1&lt;=教室申込!$K$5,教室申込!$K$7=0,COUNTA(教室申込!$C$4)=1),INDEX(展開用!$G$2:$G$601,MATCH(ROW()-1,展開用!$E$2:$E$601,0)),"")</f>
        <v/>
      </c>
      <c r="P170" s="11"/>
      <c r="Q170" s="11"/>
      <c r="R170" s="11"/>
      <c r="S170" s="11"/>
      <c r="T170" s="11"/>
      <c r="U170" s="11" t="str">
        <f>IF(AND(ROW()-1&lt;=教室申込!$K$5,教室申込!$K$7=0,COUNTA(教室申込!$C$4)=1),INDEX(展開用!$F$2:$F$601,MATCH(ROW()-1,展開用!$E$2:$E$601,0)),"")</f>
        <v/>
      </c>
      <c r="V170" s="11"/>
      <c r="W170" s="11"/>
      <c r="X170" s="11"/>
      <c r="Y170" s="11"/>
      <c r="Z170" s="11"/>
      <c r="AA170" s="11" t="str">
        <f>IF($AW170="","",IF(INDEX(教室申込!$J$1:$J$212,$AW170)="","",INDEX(教室申込!$J$1:$J$212,$AW170)))</f>
        <v/>
      </c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" t="str">
        <f>IF(AND(ROW()-1&lt;=教室申込!$K$5,教室申込!$K$7=0,COUNTA(教室申込!$C$4)=1),INDEX(展開用!$B$2:$B$601,MATCH(ROW()-1,展開用!$E$2:$E$601,0)),"")</f>
        <v/>
      </c>
      <c r="AX170" s="1"/>
      <c r="AY170" s="1"/>
    </row>
    <row r="171" spans="1:51" ht="24" customHeight="1">
      <c r="A171" s="11"/>
      <c r="B171" s="11"/>
      <c r="C171" s="11"/>
      <c r="D171" s="11"/>
      <c r="E171" s="11"/>
      <c r="F171" s="11"/>
      <c r="G171" s="11"/>
      <c r="H171" s="11" t="str">
        <f>IF(AND(ROW()-1&lt;=教室申込!$K$5,教室申込!$K$7=0,COUNTA(教室申込!$C$4)=1),INDEX(展開用!$C$2:$C$601,MATCH(ROW()-1,展開用!$E$2:$E$601,0)),"")</f>
        <v/>
      </c>
      <c r="I171" s="11" t="str">
        <f>IF(AND(ROW()-1&lt;=教室申込!$K$5,教室申込!$K$7=0,COUNTA(教室申込!$C$4)=1),INDEX(展開用!$D$2:$D$601,MATCH(ROW()-1,展開用!$E$2:$E$601,0)),"")</f>
        <v/>
      </c>
      <c r="J171" s="11"/>
      <c r="K171" s="11"/>
      <c r="L171" s="11" t="str">
        <f>IF(AND(ROW()-1&lt;=教室申込!$K$5,教室申込!$K$7=0,COUNTA(教室申込!$C$4)=1),INDEX(教室申込!$B$1:$B$212,$AW171),"")</f>
        <v/>
      </c>
      <c r="M171" s="11" t="str">
        <f>IF(AND(ROW()-1&lt;=教室申込!$K$5,教室申込!$K$7=0,COUNTA(教室申込!$C$4)=1),INDEX(教室申込!$C$1:$C$212,$AW171),"")</f>
        <v/>
      </c>
      <c r="N171" s="11"/>
      <c r="O171" s="12" t="str">
        <f>IF(AND(ROW()-1&lt;=教室申込!$K$5,教室申込!$K$7=0,COUNTA(教室申込!$C$4)=1),INDEX(展開用!$G$2:$G$601,MATCH(ROW()-1,展開用!$E$2:$E$601,0)),"")</f>
        <v/>
      </c>
      <c r="P171" s="11"/>
      <c r="Q171" s="11"/>
      <c r="R171" s="11"/>
      <c r="S171" s="11"/>
      <c r="T171" s="11"/>
      <c r="U171" s="11" t="str">
        <f>IF(AND(ROW()-1&lt;=教室申込!$K$5,教室申込!$K$7=0,COUNTA(教室申込!$C$4)=1),INDEX(展開用!$F$2:$F$601,MATCH(ROW()-1,展開用!$E$2:$E$601,0)),"")</f>
        <v/>
      </c>
      <c r="V171" s="11"/>
      <c r="W171" s="11"/>
      <c r="X171" s="11"/>
      <c r="Y171" s="11"/>
      <c r="Z171" s="11"/>
      <c r="AA171" s="11" t="str">
        <f>IF($AW171="","",IF(INDEX(教室申込!$J$1:$J$212,$AW171)="","",INDEX(教室申込!$J$1:$J$212,$AW171)))</f>
        <v/>
      </c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" t="str">
        <f>IF(AND(ROW()-1&lt;=教室申込!$K$5,教室申込!$K$7=0,COUNTA(教室申込!$C$4)=1),INDEX(展開用!$B$2:$B$601,MATCH(ROW()-1,展開用!$E$2:$E$601,0)),"")</f>
        <v/>
      </c>
      <c r="AX171" s="1"/>
      <c r="AY171" s="1"/>
    </row>
    <row r="172" spans="1:51" ht="24" customHeight="1">
      <c r="A172" s="11"/>
      <c r="B172" s="11"/>
      <c r="C172" s="11"/>
      <c r="D172" s="11"/>
      <c r="E172" s="11"/>
      <c r="F172" s="11"/>
      <c r="G172" s="11"/>
      <c r="H172" s="11" t="str">
        <f>IF(AND(ROW()-1&lt;=教室申込!$K$5,教室申込!$K$7=0,COUNTA(教室申込!$C$4)=1),INDEX(展開用!$C$2:$C$601,MATCH(ROW()-1,展開用!$E$2:$E$601,0)),"")</f>
        <v/>
      </c>
      <c r="I172" s="11" t="str">
        <f>IF(AND(ROW()-1&lt;=教室申込!$K$5,教室申込!$K$7=0,COUNTA(教室申込!$C$4)=1),INDEX(展開用!$D$2:$D$601,MATCH(ROW()-1,展開用!$E$2:$E$601,0)),"")</f>
        <v/>
      </c>
      <c r="J172" s="11"/>
      <c r="K172" s="11"/>
      <c r="L172" s="11" t="str">
        <f>IF(AND(ROW()-1&lt;=教室申込!$K$5,教室申込!$K$7=0,COUNTA(教室申込!$C$4)=1),INDEX(教室申込!$B$1:$B$212,$AW172),"")</f>
        <v/>
      </c>
      <c r="M172" s="11" t="str">
        <f>IF(AND(ROW()-1&lt;=教室申込!$K$5,教室申込!$K$7=0,COUNTA(教室申込!$C$4)=1),INDEX(教室申込!$C$1:$C$212,$AW172),"")</f>
        <v/>
      </c>
      <c r="N172" s="11"/>
      <c r="O172" s="12" t="str">
        <f>IF(AND(ROW()-1&lt;=教室申込!$K$5,教室申込!$K$7=0,COUNTA(教室申込!$C$4)=1),INDEX(展開用!$G$2:$G$601,MATCH(ROW()-1,展開用!$E$2:$E$601,0)),"")</f>
        <v/>
      </c>
      <c r="P172" s="11"/>
      <c r="Q172" s="11"/>
      <c r="R172" s="11"/>
      <c r="S172" s="11"/>
      <c r="T172" s="11"/>
      <c r="U172" s="11" t="str">
        <f>IF(AND(ROW()-1&lt;=教室申込!$K$5,教室申込!$K$7=0,COUNTA(教室申込!$C$4)=1),INDEX(展開用!$F$2:$F$601,MATCH(ROW()-1,展開用!$E$2:$E$601,0)),"")</f>
        <v/>
      </c>
      <c r="V172" s="11"/>
      <c r="W172" s="11"/>
      <c r="X172" s="11"/>
      <c r="Y172" s="11"/>
      <c r="Z172" s="11"/>
      <c r="AA172" s="11" t="str">
        <f>IF($AW172="","",IF(INDEX(教室申込!$J$1:$J$212,$AW172)="","",INDEX(教室申込!$J$1:$J$212,$AW172)))</f>
        <v/>
      </c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" t="str">
        <f>IF(AND(ROW()-1&lt;=教室申込!$K$5,教室申込!$K$7=0,COUNTA(教室申込!$C$4)=1),INDEX(展開用!$B$2:$B$601,MATCH(ROW()-1,展開用!$E$2:$E$601,0)),"")</f>
        <v/>
      </c>
      <c r="AX172" s="1"/>
      <c r="AY172" s="1"/>
    </row>
    <row r="173" spans="1:51" ht="24" customHeight="1">
      <c r="A173" s="11"/>
      <c r="B173" s="11"/>
      <c r="C173" s="11"/>
      <c r="D173" s="11"/>
      <c r="E173" s="11"/>
      <c r="F173" s="11"/>
      <c r="G173" s="11"/>
      <c r="H173" s="11" t="str">
        <f>IF(AND(ROW()-1&lt;=教室申込!$K$5,教室申込!$K$7=0,COUNTA(教室申込!$C$4)=1),INDEX(展開用!$C$2:$C$601,MATCH(ROW()-1,展開用!$E$2:$E$601,0)),"")</f>
        <v/>
      </c>
      <c r="I173" s="11" t="str">
        <f>IF(AND(ROW()-1&lt;=教室申込!$K$5,教室申込!$K$7=0,COUNTA(教室申込!$C$4)=1),INDEX(展開用!$D$2:$D$601,MATCH(ROW()-1,展開用!$E$2:$E$601,0)),"")</f>
        <v/>
      </c>
      <c r="J173" s="11"/>
      <c r="K173" s="11"/>
      <c r="L173" s="11" t="str">
        <f>IF(AND(ROW()-1&lt;=教室申込!$K$5,教室申込!$K$7=0,COUNTA(教室申込!$C$4)=1),INDEX(教室申込!$B$1:$B$212,$AW173),"")</f>
        <v/>
      </c>
      <c r="M173" s="11" t="str">
        <f>IF(AND(ROW()-1&lt;=教室申込!$K$5,教室申込!$K$7=0,COUNTA(教室申込!$C$4)=1),INDEX(教室申込!$C$1:$C$212,$AW173),"")</f>
        <v/>
      </c>
      <c r="N173" s="11"/>
      <c r="O173" s="12" t="str">
        <f>IF(AND(ROW()-1&lt;=教室申込!$K$5,教室申込!$K$7=0,COUNTA(教室申込!$C$4)=1),INDEX(展開用!$G$2:$G$601,MATCH(ROW()-1,展開用!$E$2:$E$601,0)),"")</f>
        <v/>
      </c>
      <c r="P173" s="11"/>
      <c r="Q173" s="11"/>
      <c r="R173" s="11"/>
      <c r="S173" s="11"/>
      <c r="T173" s="11"/>
      <c r="U173" s="11" t="str">
        <f>IF(AND(ROW()-1&lt;=教室申込!$K$5,教室申込!$K$7=0,COUNTA(教室申込!$C$4)=1),INDEX(展開用!$F$2:$F$601,MATCH(ROW()-1,展開用!$E$2:$E$601,0)),"")</f>
        <v/>
      </c>
      <c r="V173" s="11"/>
      <c r="W173" s="11"/>
      <c r="X173" s="11"/>
      <c r="Y173" s="11"/>
      <c r="Z173" s="11"/>
      <c r="AA173" s="11" t="str">
        <f>IF($AW173="","",IF(INDEX(教室申込!$J$1:$J$212,$AW173)="","",INDEX(教室申込!$J$1:$J$212,$AW173)))</f>
        <v/>
      </c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" t="str">
        <f>IF(AND(ROW()-1&lt;=教室申込!$K$5,教室申込!$K$7=0,COUNTA(教室申込!$C$4)=1),INDEX(展開用!$B$2:$B$601,MATCH(ROW()-1,展開用!$E$2:$E$601,0)),"")</f>
        <v/>
      </c>
      <c r="AX173" s="1"/>
      <c r="AY173" s="1"/>
    </row>
    <row r="174" spans="1:51" ht="24" customHeight="1">
      <c r="A174" s="11"/>
      <c r="B174" s="11"/>
      <c r="C174" s="11"/>
      <c r="D174" s="11"/>
      <c r="E174" s="11"/>
      <c r="F174" s="11"/>
      <c r="G174" s="11"/>
      <c r="H174" s="11" t="str">
        <f>IF(AND(ROW()-1&lt;=教室申込!$K$5,教室申込!$K$7=0,COUNTA(教室申込!$C$4)=1),INDEX(展開用!$C$2:$C$601,MATCH(ROW()-1,展開用!$E$2:$E$601,0)),"")</f>
        <v/>
      </c>
      <c r="I174" s="11" t="str">
        <f>IF(AND(ROW()-1&lt;=教室申込!$K$5,教室申込!$K$7=0,COUNTA(教室申込!$C$4)=1),INDEX(展開用!$D$2:$D$601,MATCH(ROW()-1,展開用!$E$2:$E$601,0)),"")</f>
        <v/>
      </c>
      <c r="J174" s="11"/>
      <c r="K174" s="11"/>
      <c r="L174" s="11" t="str">
        <f>IF(AND(ROW()-1&lt;=教室申込!$K$5,教室申込!$K$7=0,COUNTA(教室申込!$C$4)=1),INDEX(教室申込!$B$1:$B$212,$AW174),"")</f>
        <v/>
      </c>
      <c r="M174" s="11" t="str">
        <f>IF(AND(ROW()-1&lt;=教室申込!$K$5,教室申込!$K$7=0,COUNTA(教室申込!$C$4)=1),INDEX(教室申込!$C$1:$C$212,$AW174),"")</f>
        <v/>
      </c>
      <c r="N174" s="11"/>
      <c r="O174" s="12" t="str">
        <f>IF(AND(ROW()-1&lt;=教室申込!$K$5,教室申込!$K$7=0,COUNTA(教室申込!$C$4)=1),INDEX(展開用!$G$2:$G$601,MATCH(ROW()-1,展開用!$E$2:$E$601,0)),"")</f>
        <v/>
      </c>
      <c r="P174" s="11"/>
      <c r="Q174" s="11"/>
      <c r="R174" s="11"/>
      <c r="S174" s="11"/>
      <c r="T174" s="11"/>
      <c r="U174" s="11" t="str">
        <f>IF(AND(ROW()-1&lt;=教室申込!$K$5,教室申込!$K$7=0,COUNTA(教室申込!$C$4)=1),INDEX(展開用!$F$2:$F$601,MATCH(ROW()-1,展開用!$E$2:$E$601,0)),"")</f>
        <v/>
      </c>
      <c r="V174" s="11"/>
      <c r="W174" s="11"/>
      <c r="X174" s="11"/>
      <c r="Y174" s="11"/>
      <c r="Z174" s="11"/>
      <c r="AA174" s="11" t="str">
        <f>IF($AW174="","",IF(INDEX(教室申込!$J$1:$J$212,$AW174)="","",INDEX(教室申込!$J$1:$J$212,$AW174)))</f>
        <v/>
      </c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" t="str">
        <f>IF(AND(ROW()-1&lt;=教室申込!$K$5,教室申込!$K$7=0,COUNTA(教室申込!$C$4)=1),INDEX(展開用!$B$2:$B$601,MATCH(ROW()-1,展開用!$E$2:$E$601,0)),"")</f>
        <v/>
      </c>
      <c r="AX174" s="1"/>
      <c r="AY174" s="1"/>
    </row>
    <row r="175" spans="1:51" ht="24" customHeight="1">
      <c r="A175" s="11"/>
      <c r="B175" s="11"/>
      <c r="C175" s="11"/>
      <c r="D175" s="11"/>
      <c r="E175" s="11"/>
      <c r="F175" s="11"/>
      <c r="G175" s="11"/>
      <c r="H175" s="11" t="str">
        <f>IF(AND(ROW()-1&lt;=教室申込!$K$5,教室申込!$K$7=0,COUNTA(教室申込!$C$4)=1),INDEX(展開用!$C$2:$C$601,MATCH(ROW()-1,展開用!$E$2:$E$601,0)),"")</f>
        <v/>
      </c>
      <c r="I175" s="11" t="str">
        <f>IF(AND(ROW()-1&lt;=教室申込!$K$5,教室申込!$K$7=0,COUNTA(教室申込!$C$4)=1),INDEX(展開用!$D$2:$D$601,MATCH(ROW()-1,展開用!$E$2:$E$601,0)),"")</f>
        <v/>
      </c>
      <c r="J175" s="11"/>
      <c r="K175" s="11"/>
      <c r="L175" s="11" t="str">
        <f>IF(AND(ROW()-1&lt;=教室申込!$K$5,教室申込!$K$7=0,COUNTA(教室申込!$C$4)=1),INDEX(教室申込!$B$1:$B$212,$AW175),"")</f>
        <v/>
      </c>
      <c r="M175" s="11" t="str">
        <f>IF(AND(ROW()-1&lt;=教室申込!$K$5,教室申込!$K$7=0,COUNTA(教室申込!$C$4)=1),INDEX(教室申込!$C$1:$C$212,$AW175),"")</f>
        <v/>
      </c>
      <c r="N175" s="11"/>
      <c r="O175" s="12" t="str">
        <f>IF(AND(ROW()-1&lt;=教室申込!$K$5,教室申込!$K$7=0,COUNTA(教室申込!$C$4)=1),INDEX(展開用!$G$2:$G$601,MATCH(ROW()-1,展開用!$E$2:$E$601,0)),"")</f>
        <v/>
      </c>
      <c r="P175" s="11"/>
      <c r="Q175" s="11"/>
      <c r="R175" s="11"/>
      <c r="S175" s="11"/>
      <c r="T175" s="11"/>
      <c r="U175" s="11" t="str">
        <f>IF(AND(ROW()-1&lt;=教室申込!$K$5,教室申込!$K$7=0,COUNTA(教室申込!$C$4)=1),INDEX(展開用!$F$2:$F$601,MATCH(ROW()-1,展開用!$E$2:$E$601,0)),"")</f>
        <v/>
      </c>
      <c r="V175" s="11"/>
      <c r="W175" s="11"/>
      <c r="X175" s="11"/>
      <c r="Y175" s="11"/>
      <c r="Z175" s="11"/>
      <c r="AA175" s="11" t="str">
        <f>IF($AW175="","",IF(INDEX(教室申込!$J$1:$J$212,$AW175)="","",INDEX(教室申込!$J$1:$J$212,$AW175)))</f>
        <v/>
      </c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" t="str">
        <f>IF(AND(ROW()-1&lt;=教室申込!$K$5,教室申込!$K$7=0,COUNTA(教室申込!$C$4)=1),INDEX(展開用!$B$2:$B$601,MATCH(ROW()-1,展開用!$E$2:$E$601,0)),"")</f>
        <v/>
      </c>
      <c r="AX175" s="1"/>
      <c r="AY175" s="1"/>
    </row>
    <row r="176" spans="1:51" ht="24" customHeight="1">
      <c r="A176" s="11"/>
      <c r="B176" s="11"/>
      <c r="C176" s="11"/>
      <c r="D176" s="11"/>
      <c r="E176" s="11"/>
      <c r="F176" s="11"/>
      <c r="G176" s="11"/>
      <c r="H176" s="11" t="str">
        <f>IF(AND(ROW()-1&lt;=教室申込!$K$5,教室申込!$K$7=0,COUNTA(教室申込!$C$4)=1),INDEX(展開用!$C$2:$C$601,MATCH(ROW()-1,展開用!$E$2:$E$601,0)),"")</f>
        <v/>
      </c>
      <c r="I176" s="11" t="str">
        <f>IF(AND(ROW()-1&lt;=教室申込!$K$5,教室申込!$K$7=0,COUNTA(教室申込!$C$4)=1),INDEX(展開用!$D$2:$D$601,MATCH(ROW()-1,展開用!$E$2:$E$601,0)),"")</f>
        <v/>
      </c>
      <c r="J176" s="11"/>
      <c r="K176" s="11"/>
      <c r="L176" s="11" t="str">
        <f>IF(AND(ROW()-1&lt;=教室申込!$K$5,教室申込!$K$7=0,COUNTA(教室申込!$C$4)=1),INDEX(教室申込!$B$1:$B$212,$AW176),"")</f>
        <v/>
      </c>
      <c r="M176" s="11" t="str">
        <f>IF(AND(ROW()-1&lt;=教室申込!$K$5,教室申込!$K$7=0,COUNTA(教室申込!$C$4)=1),INDEX(教室申込!$C$1:$C$212,$AW176),"")</f>
        <v/>
      </c>
      <c r="N176" s="11"/>
      <c r="O176" s="12" t="str">
        <f>IF(AND(ROW()-1&lt;=教室申込!$K$5,教室申込!$K$7=0,COUNTA(教室申込!$C$4)=1),INDEX(展開用!$G$2:$G$601,MATCH(ROW()-1,展開用!$E$2:$E$601,0)),"")</f>
        <v/>
      </c>
      <c r="P176" s="11"/>
      <c r="Q176" s="11"/>
      <c r="R176" s="11"/>
      <c r="S176" s="11"/>
      <c r="T176" s="11"/>
      <c r="U176" s="11" t="str">
        <f>IF(AND(ROW()-1&lt;=教室申込!$K$5,教室申込!$K$7=0,COUNTA(教室申込!$C$4)=1),INDEX(展開用!$F$2:$F$601,MATCH(ROW()-1,展開用!$E$2:$E$601,0)),"")</f>
        <v/>
      </c>
      <c r="V176" s="11"/>
      <c r="W176" s="11"/>
      <c r="X176" s="11"/>
      <c r="Y176" s="11"/>
      <c r="Z176" s="11"/>
      <c r="AA176" s="11" t="str">
        <f>IF($AW176="","",IF(INDEX(教室申込!$J$1:$J$212,$AW176)="","",INDEX(教室申込!$J$1:$J$212,$AW176)))</f>
        <v/>
      </c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" t="str">
        <f>IF(AND(ROW()-1&lt;=教室申込!$K$5,教室申込!$K$7=0,COUNTA(教室申込!$C$4)=1),INDEX(展開用!$B$2:$B$601,MATCH(ROW()-1,展開用!$E$2:$E$601,0)),"")</f>
        <v/>
      </c>
      <c r="AX176" s="1"/>
      <c r="AY176" s="1"/>
    </row>
    <row r="177" spans="1:51" ht="24" customHeight="1">
      <c r="A177" s="11"/>
      <c r="B177" s="11"/>
      <c r="C177" s="11"/>
      <c r="D177" s="11"/>
      <c r="E177" s="11"/>
      <c r="F177" s="11"/>
      <c r="G177" s="11"/>
      <c r="H177" s="11" t="str">
        <f>IF(AND(ROW()-1&lt;=教室申込!$K$5,教室申込!$K$7=0,COUNTA(教室申込!$C$4)=1),INDEX(展開用!$C$2:$C$601,MATCH(ROW()-1,展開用!$E$2:$E$601,0)),"")</f>
        <v/>
      </c>
      <c r="I177" s="11" t="str">
        <f>IF(AND(ROW()-1&lt;=教室申込!$K$5,教室申込!$K$7=0,COUNTA(教室申込!$C$4)=1),INDEX(展開用!$D$2:$D$601,MATCH(ROW()-1,展開用!$E$2:$E$601,0)),"")</f>
        <v/>
      </c>
      <c r="J177" s="11"/>
      <c r="K177" s="11"/>
      <c r="L177" s="11" t="str">
        <f>IF(AND(ROW()-1&lt;=教室申込!$K$5,教室申込!$K$7=0,COUNTA(教室申込!$C$4)=1),INDEX(教室申込!$B$1:$B$212,$AW177),"")</f>
        <v/>
      </c>
      <c r="M177" s="11" t="str">
        <f>IF(AND(ROW()-1&lt;=教室申込!$K$5,教室申込!$K$7=0,COUNTA(教室申込!$C$4)=1),INDEX(教室申込!$C$1:$C$212,$AW177),"")</f>
        <v/>
      </c>
      <c r="N177" s="11"/>
      <c r="O177" s="12" t="str">
        <f>IF(AND(ROW()-1&lt;=教室申込!$K$5,教室申込!$K$7=0,COUNTA(教室申込!$C$4)=1),INDEX(展開用!$G$2:$G$601,MATCH(ROW()-1,展開用!$E$2:$E$601,0)),"")</f>
        <v/>
      </c>
      <c r="P177" s="11"/>
      <c r="Q177" s="11"/>
      <c r="R177" s="11"/>
      <c r="S177" s="11"/>
      <c r="T177" s="11"/>
      <c r="U177" s="11" t="str">
        <f>IF(AND(ROW()-1&lt;=教室申込!$K$5,教室申込!$K$7=0,COUNTA(教室申込!$C$4)=1),INDEX(展開用!$F$2:$F$601,MATCH(ROW()-1,展開用!$E$2:$E$601,0)),"")</f>
        <v/>
      </c>
      <c r="V177" s="11"/>
      <c r="W177" s="11"/>
      <c r="X177" s="11"/>
      <c r="Y177" s="11"/>
      <c r="Z177" s="11"/>
      <c r="AA177" s="11" t="str">
        <f>IF($AW177="","",IF(INDEX(教室申込!$J$1:$J$212,$AW177)="","",INDEX(教室申込!$J$1:$J$212,$AW177)))</f>
        <v/>
      </c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" t="str">
        <f>IF(AND(ROW()-1&lt;=教室申込!$K$5,教室申込!$K$7=0,COUNTA(教室申込!$C$4)=1),INDEX(展開用!$B$2:$B$601,MATCH(ROW()-1,展開用!$E$2:$E$601,0)),"")</f>
        <v/>
      </c>
      <c r="AX177" s="1"/>
      <c r="AY177" s="1"/>
    </row>
    <row r="178" spans="1:51" ht="24" customHeight="1">
      <c r="A178" s="11"/>
      <c r="B178" s="11"/>
      <c r="C178" s="11"/>
      <c r="D178" s="11"/>
      <c r="E178" s="11"/>
      <c r="F178" s="11"/>
      <c r="G178" s="11"/>
      <c r="H178" s="11" t="str">
        <f>IF(AND(ROW()-1&lt;=教室申込!$K$5,教室申込!$K$7=0,COUNTA(教室申込!$C$4)=1),INDEX(展開用!$C$2:$C$601,MATCH(ROW()-1,展開用!$E$2:$E$601,0)),"")</f>
        <v/>
      </c>
      <c r="I178" s="11" t="str">
        <f>IF(AND(ROW()-1&lt;=教室申込!$K$5,教室申込!$K$7=0,COUNTA(教室申込!$C$4)=1),INDEX(展開用!$D$2:$D$601,MATCH(ROW()-1,展開用!$E$2:$E$601,0)),"")</f>
        <v/>
      </c>
      <c r="J178" s="11"/>
      <c r="K178" s="11"/>
      <c r="L178" s="11" t="str">
        <f>IF(AND(ROW()-1&lt;=教室申込!$K$5,教室申込!$K$7=0,COUNTA(教室申込!$C$4)=1),INDEX(教室申込!$B$1:$B$212,$AW178),"")</f>
        <v/>
      </c>
      <c r="M178" s="11" t="str">
        <f>IF(AND(ROW()-1&lt;=教室申込!$K$5,教室申込!$K$7=0,COUNTA(教室申込!$C$4)=1),INDEX(教室申込!$C$1:$C$212,$AW178),"")</f>
        <v/>
      </c>
      <c r="N178" s="11"/>
      <c r="O178" s="12" t="str">
        <f>IF(AND(ROW()-1&lt;=教室申込!$K$5,教室申込!$K$7=0,COUNTA(教室申込!$C$4)=1),INDEX(展開用!$G$2:$G$601,MATCH(ROW()-1,展開用!$E$2:$E$601,0)),"")</f>
        <v/>
      </c>
      <c r="P178" s="11"/>
      <c r="Q178" s="11"/>
      <c r="R178" s="11"/>
      <c r="S178" s="11"/>
      <c r="T178" s="11"/>
      <c r="U178" s="11" t="str">
        <f>IF(AND(ROW()-1&lt;=教室申込!$K$5,教室申込!$K$7=0,COUNTA(教室申込!$C$4)=1),INDEX(展開用!$F$2:$F$601,MATCH(ROW()-1,展開用!$E$2:$E$601,0)),"")</f>
        <v/>
      </c>
      <c r="V178" s="11"/>
      <c r="W178" s="11"/>
      <c r="X178" s="11"/>
      <c r="Y178" s="11"/>
      <c r="Z178" s="11"/>
      <c r="AA178" s="11" t="str">
        <f>IF($AW178="","",IF(INDEX(教室申込!$J$1:$J$212,$AW178)="","",INDEX(教室申込!$J$1:$J$212,$AW178)))</f>
        <v/>
      </c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" t="str">
        <f>IF(AND(ROW()-1&lt;=教室申込!$K$5,教室申込!$K$7=0,COUNTA(教室申込!$C$4)=1),INDEX(展開用!$B$2:$B$601,MATCH(ROW()-1,展開用!$E$2:$E$601,0)),"")</f>
        <v/>
      </c>
      <c r="AX178" s="1"/>
      <c r="AY178" s="1"/>
    </row>
    <row r="179" spans="1:51" ht="24" customHeight="1">
      <c r="A179" s="11"/>
      <c r="B179" s="11"/>
      <c r="C179" s="11"/>
      <c r="D179" s="11"/>
      <c r="E179" s="11"/>
      <c r="F179" s="11"/>
      <c r="G179" s="11"/>
      <c r="H179" s="11" t="str">
        <f>IF(AND(ROW()-1&lt;=教室申込!$K$5,教室申込!$K$7=0,COUNTA(教室申込!$C$4)=1),INDEX(展開用!$C$2:$C$601,MATCH(ROW()-1,展開用!$E$2:$E$601,0)),"")</f>
        <v/>
      </c>
      <c r="I179" s="11" t="str">
        <f>IF(AND(ROW()-1&lt;=教室申込!$K$5,教室申込!$K$7=0,COUNTA(教室申込!$C$4)=1),INDEX(展開用!$D$2:$D$601,MATCH(ROW()-1,展開用!$E$2:$E$601,0)),"")</f>
        <v/>
      </c>
      <c r="J179" s="11"/>
      <c r="K179" s="11"/>
      <c r="L179" s="11" t="str">
        <f>IF(AND(ROW()-1&lt;=教室申込!$K$5,教室申込!$K$7=0,COUNTA(教室申込!$C$4)=1),INDEX(教室申込!$B$1:$B$212,$AW179),"")</f>
        <v/>
      </c>
      <c r="M179" s="11" t="str">
        <f>IF(AND(ROW()-1&lt;=教室申込!$K$5,教室申込!$K$7=0,COUNTA(教室申込!$C$4)=1),INDEX(教室申込!$C$1:$C$212,$AW179),"")</f>
        <v/>
      </c>
      <c r="N179" s="11"/>
      <c r="O179" s="12" t="str">
        <f>IF(AND(ROW()-1&lt;=教室申込!$K$5,教室申込!$K$7=0,COUNTA(教室申込!$C$4)=1),INDEX(展開用!$G$2:$G$601,MATCH(ROW()-1,展開用!$E$2:$E$601,0)),"")</f>
        <v/>
      </c>
      <c r="P179" s="11"/>
      <c r="Q179" s="11"/>
      <c r="R179" s="11"/>
      <c r="S179" s="11"/>
      <c r="T179" s="11"/>
      <c r="U179" s="11" t="str">
        <f>IF(AND(ROW()-1&lt;=教室申込!$K$5,教室申込!$K$7=0,COUNTA(教室申込!$C$4)=1),INDEX(展開用!$F$2:$F$601,MATCH(ROW()-1,展開用!$E$2:$E$601,0)),"")</f>
        <v/>
      </c>
      <c r="V179" s="11"/>
      <c r="W179" s="11"/>
      <c r="X179" s="11"/>
      <c r="Y179" s="11"/>
      <c r="Z179" s="11"/>
      <c r="AA179" s="11" t="str">
        <f>IF($AW179="","",IF(INDEX(教室申込!$J$1:$J$212,$AW179)="","",INDEX(教室申込!$J$1:$J$212,$AW179)))</f>
        <v/>
      </c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" t="str">
        <f>IF(AND(ROW()-1&lt;=教室申込!$K$5,教室申込!$K$7=0,COUNTA(教室申込!$C$4)=1),INDEX(展開用!$B$2:$B$601,MATCH(ROW()-1,展開用!$E$2:$E$601,0)),"")</f>
        <v/>
      </c>
      <c r="AX179" s="1"/>
      <c r="AY179" s="1"/>
    </row>
    <row r="180" spans="1:51" ht="24" customHeight="1">
      <c r="A180" s="11"/>
      <c r="B180" s="11"/>
      <c r="C180" s="11"/>
      <c r="D180" s="11"/>
      <c r="E180" s="11"/>
      <c r="F180" s="11"/>
      <c r="G180" s="11"/>
      <c r="H180" s="11" t="str">
        <f>IF(AND(ROW()-1&lt;=教室申込!$K$5,教室申込!$K$7=0,COUNTA(教室申込!$C$4)=1),INDEX(展開用!$C$2:$C$601,MATCH(ROW()-1,展開用!$E$2:$E$601,0)),"")</f>
        <v/>
      </c>
      <c r="I180" s="11" t="str">
        <f>IF(AND(ROW()-1&lt;=教室申込!$K$5,教室申込!$K$7=0,COUNTA(教室申込!$C$4)=1),INDEX(展開用!$D$2:$D$601,MATCH(ROW()-1,展開用!$E$2:$E$601,0)),"")</f>
        <v/>
      </c>
      <c r="J180" s="11"/>
      <c r="K180" s="11"/>
      <c r="L180" s="11" t="str">
        <f>IF(AND(ROW()-1&lt;=教室申込!$K$5,教室申込!$K$7=0,COUNTA(教室申込!$C$4)=1),INDEX(教室申込!$B$1:$B$212,$AW180),"")</f>
        <v/>
      </c>
      <c r="M180" s="11" t="str">
        <f>IF(AND(ROW()-1&lt;=教室申込!$K$5,教室申込!$K$7=0,COUNTA(教室申込!$C$4)=1),INDEX(教室申込!$C$1:$C$212,$AW180),"")</f>
        <v/>
      </c>
      <c r="N180" s="11"/>
      <c r="O180" s="12" t="str">
        <f>IF(AND(ROW()-1&lt;=教室申込!$K$5,教室申込!$K$7=0,COUNTA(教室申込!$C$4)=1),INDEX(展開用!$G$2:$G$601,MATCH(ROW()-1,展開用!$E$2:$E$601,0)),"")</f>
        <v/>
      </c>
      <c r="P180" s="11"/>
      <c r="Q180" s="11"/>
      <c r="R180" s="11"/>
      <c r="S180" s="11"/>
      <c r="T180" s="11"/>
      <c r="U180" s="11" t="str">
        <f>IF(AND(ROW()-1&lt;=教室申込!$K$5,教室申込!$K$7=0,COUNTA(教室申込!$C$4)=1),INDEX(展開用!$F$2:$F$601,MATCH(ROW()-1,展開用!$E$2:$E$601,0)),"")</f>
        <v/>
      </c>
      <c r="V180" s="11"/>
      <c r="W180" s="11"/>
      <c r="X180" s="11"/>
      <c r="Y180" s="11"/>
      <c r="Z180" s="11"/>
      <c r="AA180" s="11" t="str">
        <f>IF($AW180="","",IF(INDEX(教室申込!$J$1:$J$212,$AW180)="","",INDEX(教室申込!$J$1:$J$212,$AW180)))</f>
        <v/>
      </c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" t="str">
        <f>IF(AND(ROW()-1&lt;=教室申込!$K$5,教室申込!$K$7=0,COUNTA(教室申込!$C$4)=1),INDEX(展開用!$B$2:$B$601,MATCH(ROW()-1,展開用!$E$2:$E$601,0)),"")</f>
        <v/>
      </c>
      <c r="AX180" s="1"/>
      <c r="AY180" s="1"/>
    </row>
    <row r="181" spans="1:51" ht="24" customHeight="1">
      <c r="A181" s="11"/>
      <c r="B181" s="11"/>
      <c r="C181" s="11"/>
      <c r="D181" s="11"/>
      <c r="E181" s="11"/>
      <c r="F181" s="11"/>
      <c r="G181" s="11"/>
      <c r="H181" s="11" t="str">
        <f>IF(AND(ROW()-1&lt;=教室申込!$K$5,教室申込!$K$7=0,COUNTA(教室申込!$C$4)=1),INDEX(展開用!$C$2:$C$601,MATCH(ROW()-1,展開用!$E$2:$E$601,0)),"")</f>
        <v/>
      </c>
      <c r="I181" s="11" t="str">
        <f>IF(AND(ROW()-1&lt;=教室申込!$K$5,教室申込!$K$7=0,COUNTA(教室申込!$C$4)=1),INDEX(展開用!$D$2:$D$601,MATCH(ROW()-1,展開用!$E$2:$E$601,0)),"")</f>
        <v/>
      </c>
      <c r="J181" s="11"/>
      <c r="K181" s="11"/>
      <c r="L181" s="11" t="str">
        <f>IF(AND(ROW()-1&lt;=教室申込!$K$5,教室申込!$K$7=0,COUNTA(教室申込!$C$4)=1),INDEX(教室申込!$B$1:$B$212,$AW181),"")</f>
        <v/>
      </c>
      <c r="M181" s="11" t="str">
        <f>IF(AND(ROW()-1&lt;=教室申込!$K$5,教室申込!$K$7=0,COUNTA(教室申込!$C$4)=1),INDEX(教室申込!$C$1:$C$212,$AW181),"")</f>
        <v/>
      </c>
      <c r="N181" s="11"/>
      <c r="O181" s="12" t="str">
        <f>IF(AND(ROW()-1&lt;=教室申込!$K$5,教室申込!$K$7=0,COUNTA(教室申込!$C$4)=1),INDEX(展開用!$G$2:$G$601,MATCH(ROW()-1,展開用!$E$2:$E$601,0)),"")</f>
        <v/>
      </c>
      <c r="P181" s="11"/>
      <c r="Q181" s="11"/>
      <c r="R181" s="11"/>
      <c r="S181" s="11"/>
      <c r="T181" s="11"/>
      <c r="U181" s="11" t="str">
        <f>IF(AND(ROW()-1&lt;=教室申込!$K$5,教室申込!$K$7=0,COUNTA(教室申込!$C$4)=1),INDEX(展開用!$F$2:$F$601,MATCH(ROW()-1,展開用!$E$2:$E$601,0)),"")</f>
        <v/>
      </c>
      <c r="V181" s="11"/>
      <c r="W181" s="11"/>
      <c r="X181" s="11"/>
      <c r="Y181" s="11"/>
      <c r="Z181" s="11"/>
      <c r="AA181" s="11" t="str">
        <f>IF($AW181="","",IF(INDEX(教室申込!$J$1:$J$212,$AW181)="","",INDEX(教室申込!$J$1:$J$212,$AW181)))</f>
        <v/>
      </c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" t="str">
        <f>IF(AND(ROW()-1&lt;=教室申込!$K$5,教室申込!$K$7=0,COUNTA(教室申込!$C$4)=1),INDEX(展開用!$B$2:$B$601,MATCH(ROW()-1,展開用!$E$2:$E$601,0)),"")</f>
        <v/>
      </c>
      <c r="AX181" s="1"/>
      <c r="AY181" s="1"/>
    </row>
    <row r="182" spans="1:51" ht="24" customHeight="1">
      <c r="A182" s="11"/>
      <c r="B182" s="11"/>
      <c r="C182" s="11"/>
      <c r="D182" s="11"/>
      <c r="E182" s="11"/>
      <c r="F182" s="11"/>
      <c r="G182" s="11"/>
      <c r="H182" s="11" t="str">
        <f>IF(AND(ROW()-1&lt;=教室申込!$K$5,教室申込!$K$7=0,COUNTA(教室申込!$C$4)=1),INDEX(展開用!$C$2:$C$601,MATCH(ROW()-1,展開用!$E$2:$E$601,0)),"")</f>
        <v/>
      </c>
      <c r="I182" s="11" t="str">
        <f>IF(AND(ROW()-1&lt;=教室申込!$K$5,教室申込!$K$7=0,COUNTA(教室申込!$C$4)=1),INDEX(展開用!$D$2:$D$601,MATCH(ROW()-1,展開用!$E$2:$E$601,0)),"")</f>
        <v/>
      </c>
      <c r="J182" s="11"/>
      <c r="K182" s="11"/>
      <c r="L182" s="11" t="str">
        <f>IF(AND(ROW()-1&lt;=教室申込!$K$5,教室申込!$K$7=0,COUNTA(教室申込!$C$4)=1),INDEX(教室申込!$B$1:$B$212,$AW182),"")</f>
        <v/>
      </c>
      <c r="M182" s="11" t="str">
        <f>IF(AND(ROW()-1&lt;=教室申込!$K$5,教室申込!$K$7=0,COUNTA(教室申込!$C$4)=1),INDEX(教室申込!$C$1:$C$212,$AW182),"")</f>
        <v/>
      </c>
      <c r="N182" s="11"/>
      <c r="O182" s="12" t="str">
        <f>IF(AND(ROW()-1&lt;=教室申込!$K$5,教室申込!$K$7=0,COUNTA(教室申込!$C$4)=1),INDEX(展開用!$G$2:$G$601,MATCH(ROW()-1,展開用!$E$2:$E$601,0)),"")</f>
        <v/>
      </c>
      <c r="P182" s="11"/>
      <c r="Q182" s="11"/>
      <c r="R182" s="11"/>
      <c r="S182" s="11"/>
      <c r="T182" s="11"/>
      <c r="U182" s="11" t="str">
        <f>IF(AND(ROW()-1&lt;=教室申込!$K$5,教室申込!$K$7=0,COUNTA(教室申込!$C$4)=1),INDEX(展開用!$F$2:$F$601,MATCH(ROW()-1,展開用!$E$2:$E$601,0)),"")</f>
        <v/>
      </c>
      <c r="V182" s="11"/>
      <c r="W182" s="11"/>
      <c r="X182" s="11"/>
      <c r="Y182" s="11"/>
      <c r="Z182" s="11"/>
      <c r="AA182" s="11" t="str">
        <f>IF($AW182="","",IF(INDEX(教室申込!$J$1:$J$212,$AW182)="","",INDEX(教室申込!$J$1:$J$212,$AW182)))</f>
        <v/>
      </c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" t="str">
        <f>IF(AND(ROW()-1&lt;=教室申込!$K$5,教室申込!$K$7=0,COUNTA(教室申込!$C$4)=1),INDEX(展開用!$B$2:$B$601,MATCH(ROW()-1,展開用!$E$2:$E$601,0)),"")</f>
        <v/>
      </c>
      <c r="AX182" s="1"/>
      <c r="AY182" s="1"/>
    </row>
    <row r="183" spans="1:51" ht="24" customHeight="1">
      <c r="A183" s="11"/>
      <c r="B183" s="11"/>
      <c r="C183" s="11"/>
      <c r="D183" s="11"/>
      <c r="E183" s="11"/>
      <c r="F183" s="11"/>
      <c r="G183" s="11"/>
      <c r="H183" s="11" t="str">
        <f>IF(AND(ROW()-1&lt;=教室申込!$K$5,教室申込!$K$7=0,COUNTA(教室申込!$C$4)=1),INDEX(展開用!$C$2:$C$601,MATCH(ROW()-1,展開用!$E$2:$E$601,0)),"")</f>
        <v/>
      </c>
      <c r="I183" s="11" t="str">
        <f>IF(AND(ROW()-1&lt;=教室申込!$K$5,教室申込!$K$7=0,COUNTA(教室申込!$C$4)=1),INDEX(展開用!$D$2:$D$601,MATCH(ROW()-1,展開用!$E$2:$E$601,0)),"")</f>
        <v/>
      </c>
      <c r="J183" s="11"/>
      <c r="K183" s="11"/>
      <c r="L183" s="11" t="str">
        <f>IF(AND(ROW()-1&lt;=教室申込!$K$5,教室申込!$K$7=0,COUNTA(教室申込!$C$4)=1),INDEX(教室申込!$B$1:$B$212,$AW183),"")</f>
        <v/>
      </c>
      <c r="M183" s="11" t="str">
        <f>IF(AND(ROW()-1&lt;=教室申込!$K$5,教室申込!$K$7=0,COUNTA(教室申込!$C$4)=1),INDEX(教室申込!$C$1:$C$212,$AW183),"")</f>
        <v/>
      </c>
      <c r="N183" s="11"/>
      <c r="O183" s="12" t="str">
        <f>IF(AND(ROW()-1&lt;=教室申込!$K$5,教室申込!$K$7=0,COUNTA(教室申込!$C$4)=1),INDEX(展開用!$G$2:$G$601,MATCH(ROW()-1,展開用!$E$2:$E$601,0)),"")</f>
        <v/>
      </c>
      <c r="P183" s="11"/>
      <c r="Q183" s="11"/>
      <c r="R183" s="11"/>
      <c r="S183" s="11"/>
      <c r="T183" s="11"/>
      <c r="U183" s="11" t="str">
        <f>IF(AND(ROW()-1&lt;=教室申込!$K$5,教室申込!$K$7=0,COUNTA(教室申込!$C$4)=1),INDEX(展開用!$F$2:$F$601,MATCH(ROW()-1,展開用!$E$2:$E$601,0)),"")</f>
        <v/>
      </c>
      <c r="V183" s="11"/>
      <c r="W183" s="11"/>
      <c r="X183" s="11"/>
      <c r="Y183" s="11"/>
      <c r="Z183" s="11"/>
      <c r="AA183" s="11" t="str">
        <f>IF($AW183="","",IF(INDEX(教室申込!$J$1:$J$212,$AW183)="","",INDEX(教室申込!$J$1:$J$212,$AW183)))</f>
        <v/>
      </c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" t="str">
        <f>IF(AND(ROW()-1&lt;=教室申込!$K$5,教室申込!$K$7=0,COUNTA(教室申込!$C$4)=1),INDEX(展開用!$B$2:$B$601,MATCH(ROW()-1,展開用!$E$2:$E$601,0)),"")</f>
        <v/>
      </c>
      <c r="AX183" s="1"/>
      <c r="AY183" s="1"/>
    </row>
    <row r="184" spans="1:51" ht="24" customHeight="1">
      <c r="A184" s="11"/>
      <c r="B184" s="11"/>
      <c r="C184" s="11"/>
      <c r="D184" s="11"/>
      <c r="E184" s="11"/>
      <c r="F184" s="11"/>
      <c r="G184" s="11"/>
      <c r="H184" s="11" t="str">
        <f>IF(AND(ROW()-1&lt;=教室申込!$K$5,教室申込!$K$7=0,COUNTA(教室申込!$C$4)=1),INDEX(展開用!$C$2:$C$601,MATCH(ROW()-1,展開用!$E$2:$E$601,0)),"")</f>
        <v/>
      </c>
      <c r="I184" s="11" t="str">
        <f>IF(AND(ROW()-1&lt;=教室申込!$K$5,教室申込!$K$7=0,COUNTA(教室申込!$C$4)=1),INDEX(展開用!$D$2:$D$601,MATCH(ROW()-1,展開用!$E$2:$E$601,0)),"")</f>
        <v/>
      </c>
      <c r="J184" s="11"/>
      <c r="K184" s="11"/>
      <c r="L184" s="11" t="str">
        <f>IF(AND(ROW()-1&lt;=教室申込!$K$5,教室申込!$K$7=0,COUNTA(教室申込!$C$4)=1),INDEX(教室申込!$B$1:$B$212,$AW184),"")</f>
        <v/>
      </c>
      <c r="M184" s="11" t="str">
        <f>IF(AND(ROW()-1&lt;=教室申込!$K$5,教室申込!$K$7=0,COUNTA(教室申込!$C$4)=1),INDEX(教室申込!$C$1:$C$212,$AW184),"")</f>
        <v/>
      </c>
      <c r="N184" s="11"/>
      <c r="O184" s="12" t="str">
        <f>IF(AND(ROW()-1&lt;=教室申込!$K$5,教室申込!$K$7=0,COUNTA(教室申込!$C$4)=1),INDEX(展開用!$G$2:$G$601,MATCH(ROW()-1,展開用!$E$2:$E$601,0)),"")</f>
        <v/>
      </c>
      <c r="P184" s="11"/>
      <c r="Q184" s="11"/>
      <c r="R184" s="11"/>
      <c r="S184" s="11"/>
      <c r="T184" s="11"/>
      <c r="U184" s="11" t="str">
        <f>IF(AND(ROW()-1&lt;=教室申込!$K$5,教室申込!$K$7=0,COUNTA(教室申込!$C$4)=1),INDEX(展開用!$F$2:$F$601,MATCH(ROW()-1,展開用!$E$2:$E$601,0)),"")</f>
        <v/>
      </c>
      <c r="V184" s="11"/>
      <c r="W184" s="11"/>
      <c r="X184" s="11"/>
      <c r="Y184" s="11"/>
      <c r="Z184" s="11"/>
      <c r="AA184" s="11" t="str">
        <f>IF($AW184="","",IF(INDEX(教室申込!$J$1:$J$212,$AW184)="","",INDEX(教室申込!$J$1:$J$212,$AW184)))</f>
        <v/>
      </c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" t="str">
        <f>IF(AND(ROW()-1&lt;=教室申込!$K$5,教室申込!$K$7=0,COUNTA(教室申込!$C$4)=1),INDEX(展開用!$B$2:$B$601,MATCH(ROW()-1,展開用!$E$2:$E$601,0)),"")</f>
        <v/>
      </c>
      <c r="AX184" s="1"/>
      <c r="AY184" s="1"/>
    </row>
    <row r="185" spans="1:51" ht="24" customHeight="1">
      <c r="A185" s="11"/>
      <c r="B185" s="11"/>
      <c r="C185" s="11"/>
      <c r="D185" s="11"/>
      <c r="E185" s="11"/>
      <c r="F185" s="11"/>
      <c r="G185" s="11"/>
      <c r="H185" s="11" t="str">
        <f>IF(AND(ROW()-1&lt;=教室申込!$K$5,教室申込!$K$7=0,COUNTA(教室申込!$C$4)=1),INDEX(展開用!$C$2:$C$601,MATCH(ROW()-1,展開用!$E$2:$E$601,0)),"")</f>
        <v/>
      </c>
      <c r="I185" s="11" t="str">
        <f>IF(AND(ROW()-1&lt;=教室申込!$K$5,教室申込!$K$7=0,COUNTA(教室申込!$C$4)=1),INDEX(展開用!$D$2:$D$601,MATCH(ROW()-1,展開用!$E$2:$E$601,0)),"")</f>
        <v/>
      </c>
      <c r="J185" s="11"/>
      <c r="K185" s="11"/>
      <c r="L185" s="11" t="str">
        <f>IF(AND(ROW()-1&lt;=教室申込!$K$5,教室申込!$K$7=0,COUNTA(教室申込!$C$4)=1),INDEX(教室申込!$B$1:$B$212,$AW185),"")</f>
        <v/>
      </c>
      <c r="M185" s="11" t="str">
        <f>IF(AND(ROW()-1&lt;=教室申込!$K$5,教室申込!$K$7=0,COUNTA(教室申込!$C$4)=1),INDEX(教室申込!$C$1:$C$212,$AW185),"")</f>
        <v/>
      </c>
      <c r="N185" s="11"/>
      <c r="O185" s="12" t="str">
        <f>IF(AND(ROW()-1&lt;=教室申込!$K$5,教室申込!$K$7=0,COUNTA(教室申込!$C$4)=1),INDEX(展開用!$G$2:$G$601,MATCH(ROW()-1,展開用!$E$2:$E$601,0)),"")</f>
        <v/>
      </c>
      <c r="P185" s="11"/>
      <c r="Q185" s="11"/>
      <c r="R185" s="11"/>
      <c r="S185" s="11"/>
      <c r="T185" s="11"/>
      <c r="U185" s="11" t="str">
        <f>IF(AND(ROW()-1&lt;=教室申込!$K$5,教室申込!$K$7=0,COUNTA(教室申込!$C$4)=1),INDEX(展開用!$F$2:$F$601,MATCH(ROW()-1,展開用!$E$2:$E$601,0)),"")</f>
        <v/>
      </c>
      <c r="V185" s="11"/>
      <c r="W185" s="11"/>
      <c r="X185" s="11"/>
      <c r="Y185" s="11"/>
      <c r="Z185" s="11"/>
      <c r="AA185" s="11" t="str">
        <f>IF($AW185="","",IF(INDEX(教室申込!$J$1:$J$212,$AW185)="","",INDEX(教室申込!$J$1:$J$212,$AW185)))</f>
        <v/>
      </c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" t="str">
        <f>IF(AND(ROW()-1&lt;=教室申込!$K$5,教室申込!$K$7=0,COUNTA(教室申込!$C$4)=1),INDEX(展開用!$B$2:$B$601,MATCH(ROW()-1,展開用!$E$2:$E$601,0)),"")</f>
        <v/>
      </c>
      <c r="AX185" s="1"/>
      <c r="AY185" s="1"/>
    </row>
    <row r="186" spans="1:51" ht="24" customHeight="1">
      <c r="A186" s="11"/>
      <c r="B186" s="11"/>
      <c r="C186" s="11"/>
      <c r="D186" s="11"/>
      <c r="E186" s="11"/>
      <c r="F186" s="11"/>
      <c r="G186" s="11"/>
      <c r="H186" s="11" t="str">
        <f>IF(AND(ROW()-1&lt;=教室申込!$K$5,教室申込!$K$7=0,COUNTA(教室申込!$C$4)=1),INDEX(展開用!$C$2:$C$601,MATCH(ROW()-1,展開用!$E$2:$E$601,0)),"")</f>
        <v/>
      </c>
      <c r="I186" s="11" t="str">
        <f>IF(AND(ROW()-1&lt;=教室申込!$K$5,教室申込!$K$7=0,COUNTA(教室申込!$C$4)=1),INDEX(展開用!$D$2:$D$601,MATCH(ROW()-1,展開用!$E$2:$E$601,0)),"")</f>
        <v/>
      </c>
      <c r="J186" s="11"/>
      <c r="K186" s="11"/>
      <c r="L186" s="11" t="str">
        <f>IF(AND(ROW()-1&lt;=教室申込!$K$5,教室申込!$K$7=0,COUNTA(教室申込!$C$4)=1),INDEX(教室申込!$B$1:$B$212,$AW186),"")</f>
        <v/>
      </c>
      <c r="M186" s="11" t="str">
        <f>IF(AND(ROW()-1&lt;=教室申込!$K$5,教室申込!$K$7=0,COUNTA(教室申込!$C$4)=1),INDEX(教室申込!$C$1:$C$212,$AW186),"")</f>
        <v/>
      </c>
      <c r="N186" s="11"/>
      <c r="O186" s="12" t="str">
        <f>IF(AND(ROW()-1&lt;=教室申込!$K$5,教室申込!$K$7=0,COUNTA(教室申込!$C$4)=1),INDEX(展開用!$G$2:$G$601,MATCH(ROW()-1,展開用!$E$2:$E$601,0)),"")</f>
        <v/>
      </c>
      <c r="P186" s="11"/>
      <c r="Q186" s="11"/>
      <c r="R186" s="11"/>
      <c r="S186" s="11"/>
      <c r="T186" s="11"/>
      <c r="U186" s="11" t="str">
        <f>IF(AND(ROW()-1&lt;=教室申込!$K$5,教室申込!$K$7=0,COUNTA(教室申込!$C$4)=1),INDEX(展開用!$F$2:$F$601,MATCH(ROW()-1,展開用!$E$2:$E$601,0)),"")</f>
        <v/>
      </c>
      <c r="V186" s="11"/>
      <c r="W186" s="11"/>
      <c r="X186" s="11"/>
      <c r="Y186" s="11"/>
      <c r="Z186" s="11"/>
      <c r="AA186" s="11" t="str">
        <f>IF($AW186="","",IF(INDEX(教室申込!$J$1:$J$212,$AW186)="","",INDEX(教室申込!$J$1:$J$212,$AW186)))</f>
        <v/>
      </c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" t="str">
        <f>IF(AND(ROW()-1&lt;=教室申込!$K$5,教室申込!$K$7=0,COUNTA(教室申込!$C$4)=1),INDEX(展開用!$B$2:$B$601,MATCH(ROW()-1,展開用!$E$2:$E$601,0)),"")</f>
        <v/>
      </c>
      <c r="AX186" s="1"/>
      <c r="AY186" s="1"/>
    </row>
    <row r="187" spans="1:51" ht="24" customHeight="1">
      <c r="A187" s="11"/>
      <c r="B187" s="11"/>
      <c r="C187" s="11"/>
      <c r="D187" s="11"/>
      <c r="E187" s="11"/>
      <c r="F187" s="11"/>
      <c r="G187" s="11"/>
      <c r="H187" s="11" t="str">
        <f>IF(AND(ROW()-1&lt;=教室申込!$K$5,教室申込!$K$7=0,COUNTA(教室申込!$C$4)=1),INDEX(展開用!$C$2:$C$601,MATCH(ROW()-1,展開用!$E$2:$E$601,0)),"")</f>
        <v/>
      </c>
      <c r="I187" s="11" t="str">
        <f>IF(AND(ROW()-1&lt;=教室申込!$K$5,教室申込!$K$7=0,COUNTA(教室申込!$C$4)=1),INDEX(展開用!$D$2:$D$601,MATCH(ROW()-1,展開用!$E$2:$E$601,0)),"")</f>
        <v/>
      </c>
      <c r="J187" s="11"/>
      <c r="K187" s="11"/>
      <c r="L187" s="11" t="str">
        <f>IF(AND(ROW()-1&lt;=教室申込!$K$5,教室申込!$K$7=0,COUNTA(教室申込!$C$4)=1),INDEX(教室申込!$B$1:$B$212,$AW187),"")</f>
        <v/>
      </c>
      <c r="M187" s="11" t="str">
        <f>IF(AND(ROW()-1&lt;=教室申込!$K$5,教室申込!$K$7=0,COUNTA(教室申込!$C$4)=1),INDEX(教室申込!$C$1:$C$212,$AW187),"")</f>
        <v/>
      </c>
      <c r="N187" s="11"/>
      <c r="O187" s="12" t="str">
        <f>IF(AND(ROW()-1&lt;=教室申込!$K$5,教室申込!$K$7=0,COUNTA(教室申込!$C$4)=1),INDEX(展開用!$G$2:$G$601,MATCH(ROW()-1,展開用!$E$2:$E$601,0)),"")</f>
        <v/>
      </c>
      <c r="P187" s="11"/>
      <c r="Q187" s="11"/>
      <c r="R187" s="11"/>
      <c r="S187" s="11"/>
      <c r="T187" s="11"/>
      <c r="U187" s="11" t="str">
        <f>IF(AND(ROW()-1&lt;=教室申込!$K$5,教室申込!$K$7=0,COUNTA(教室申込!$C$4)=1),INDEX(展開用!$F$2:$F$601,MATCH(ROW()-1,展開用!$E$2:$E$601,0)),"")</f>
        <v/>
      </c>
      <c r="V187" s="11"/>
      <c r="W187" s="11"/>
      <c r="X187" s="11"/>
      <c r="Y187" s="11"/>
      <c r="Z187" s="11"/>
      <c r="AA187" s="11" t="str">
        <f>IF($AW187="","",IF(INDEX(教室申込!$J$1:$J$212,$AW187)="","",INDEX(教室申込!$J$1:$J$212,$AW187)))</f>
        <v/>
      </c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" t="str">
        <f>IF(AND(ROW()-1&lt;=教室申込!$K$5,教室申込!$K$7=0,COUNTA(教室申込!$C$4)=1),INDEX(展開用!$B$2:$B$601,MATCH(ROW()-1,展開用!$E$2:$E$601,0)),"")</f>
        <v/>
      </c>
      <c r="AX187" s="1"/>
      <c r="AY187" s="1"/>
    </row>
    <row r="188" spans="1:51" ht="24" customHeight="1">
      <c r="A188" s="11"/>
      <c r="B188" s="11"/>
      <c r="C188" s="11"/>
      <c r="D188" s="11"/>
      <c r="E188" s="11"/>
      <c r="F188" s="11"/>
      <c r="G188" s="11"/>
      <c r="H188" s="11" t="str">
        <f>IF(AND(ROW()-1&lt;=教室申込!$K$5,教室申込!$K$7=0,COUNTA(教室申込!$C$4)=1),INDEX(展開用!$C$2:$C$601,MATCH(ROW()-1,展開用!$E$2:$E$601,0)),"")</f>
        <v/>
      </c>
      <c r="I188" s="11" t="str">
        <f>IF(AND(ROW()-1&lt;=教室申込!$K$5,教室申込!$K$7=0,COUNTA(教室申込!$C$4)=1),INDEX(展開用!$D$2:$D$601,MATCH(ROW()-1,展開用!$E$2:$E$601,0)),"")</f>
        <v/>
      </c>
      <c r="J188" s="11"/>
      <c r="K188" s="11"/>
      <c r="L188" s="11" t="str">
        <f>IF(AND(ROW()-1&lt;=教室申込!$K$5,教室申込!$K$7=0,COUNTA(教室申込!$C$4)=1),INDEX(教室申込!$B$1:$B$212,$AW188),"")</f>
        <v/>
      </c>
      <c r="M188" s="11" t="str">
        <f>IF(AND(ROW()-1&lt;=教室申込!$K$5,教室申込!$K$7=0,COUNTA(教室申込!$C$4)=1),INDEX(教室申込!$C$1:$C$212,$AW188),"")</f>
        <v/>
      </c>
      <c r="N188" s="11"/>
      <c r="O188" s="12" t="str">
        <f>IF(AND(ROW()-1&lt;=教室申込!$K$5,教室申込!$K$7=0,COUNTA(教室申込!$C$4)=1),INDEX(展開用!$G$2:$G$601,MATCH(ROW()-1,展開用!$E$2:$E$601,0)),"")</f>
        <v/>
      </c>
      <c r="P188" s="11"/>
      <c r="Q188" s="11"/>
      <c r="R188" s="11"/>
      <c r="S188" s="11"/>
      <c r="T188" s="11"/>
      <c r="U188" s="11" t="str">
        <f>IF(AND(ROW()-1&lt;=教室申込!$K$5,教室申込!$K$7=0,COUNTA(教室申込!$C$4)=1),INDEX(展開用!$F$2:$F$601,MATCH(ROW()-1,展開用!$E$2:$E$601,0)),"")</f>
        <v/>
      </c>
      <c r="V188" s="11"/>
      <c r="W188" s="11"/>
      <c r="X188" s="11"/>
      <c r="Y188" s="11"/>
      <c r="Z188" s="11"/>
      <c r="AA188" s="11" t="str">
        <f>IF($AW188="","",IF(INDEX(教室申込!$J$1:$J$212,$AW188)="","",INDEX(教室申込!$J$1:$J$212,$AW188)))</f>
        <v/>
      </c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" t="str">
        <f>IF(AND(ROW()-1&lt;=教室申込!$K$5,教室申込!$K$7=0,COUNTA(教室申込!$C$4)=1),INDEX(展開用!$B$2:$B$601,MATCH(ROW()-1,展開用!$E$2:$E$601,0)),"")</f>
        <v/>
      </c>
      <c r="AX188" s="1"/>
      <c r="AY188" s="1"/>
    </row>
    <row r="189" spans="1:51" ht="24" customHeight="1">
      <c r="A189" s="11"/>
      <c r="B189" s="11"/>
      <c r="C189" s="11"/>
      <c r="D189" s="11"/>
      <c r="E189" s="11"/>
      <c r="F189" s="11"/>
      <c r="G189" s="11"/>
      <c r="H189" s="11" t="str">
        <f>IF(AND(ROW()-1&lt;=教室申込!$K$5,教室申込!$K$7=0,COUNTA(教室申込!$C$4)=1),INDEX(展開用!$C$2:$C$601,MATCH(ROW()-1,展開用!$E$2:$E$601,0)),"")</f>
        <v/>
      </c>
      <c r="I189" s="11" t="str">
        <f>IF(AND(ROW()-1&lt;=教室申込!$K$5,教室申込!$K$7=0,COUNTA(教室申込!$C$4)=1),INDEX(展開用!$D$2:$D$601,MATCH(ROW()-1,展開用!$E$2:$E$601,0)),"")</f>
        <v/>
      </c>
      <c r="J189" s="11"/>
      <c r="K189" s="11"/>
      <c r="L189" s="11" t="str">
        <f>IF(AND(ROW()-1&lt;=教室申込!$K$5,教室申込!$K$7=0,COUNTA(教室申込!$C$4)=1),INDEX(教室申込!$B$1:$B$212,$AW189),"")</f>
        <v/>
      </c>
      <c r="M189" s="11" t="str">
        <f>IF(AND(ROW()-1&lt;=教室申込!$K$5,教室申込!$K$7=0,COUNTA(教室申込!$C$4)=1),INDEX(教室申込!$C$1:$C$212,$AW189),"")</f>
        <v/>
      </c>
      <c r="N189" s="11"/>
      <c r="O189" s="12" t="str">
        <f>IF(AND(ROW()-1&lt;=教室申込!$K$5,教室申込!$K$7=0,COUNTA(教室申込!$C$4)=1),INDEX(展開用!$G$2:$G$601,MATCH(ROW()-1,展開用!$E$2:$E$601,0)),"")</f>
        <v/>
      </c>
      <c r="P189" s="11"/>
      <c r="Q189" s="11"/>
      <c r="R189" s="11"/>
      <c r="S189" s="11"/>
      <c r="T189" s="11"/>
      <c r="U189" s="11" t="str">
        <f>IF(AND(ROW()-1&lt;=教室申込!$K$5,教室申込!$K$7=0,COUNTA(教室申込!$C$4)=1),INDEX(展開用!$F$2:$F$601,MATCH(ROW()-1,展開用!$E$2:$E$601,0)),"")</f>
        <v/>
      </c>
      <c r="V189" s="11"/>
      <c r="W189" s="11"/>
      <c r="X189" s="11"/>
      <c r="Y189" s="11"/>
      <c r="Z189" s="11"/>
      <c r="AA189" s="11" t="str">
        <f>IF($AW189="","",IF(INDEX(教室申込!$J$1:$J$212,$AW189)="","",INDEX(教室申込!$J$1:$J$212,$AW189)))</f>
        <v/>
      </c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" t="str">
        <f>IF(AND(ROW()-1&lt;=教室申込!$K$5,教室申込!$K$7=0,COUNTA(教室申込!$C$4)=1),INDEX(展開用!$B$2:$B$601,MATCH(ROW()-1,展開用!$E$2:$E$601,0)),"")</f>
        <v/>
      </c>
      <c r="AX189" s="1"/>
      <c r="AY189" s="1"/>
    </row>
    <row r="190" spans="1:51" ht="24" customHeight="1">
      <c r="A190" s="11"/>
      <c r="B190" s="11"/>
      <c r="C190" s="11"/>
      <c r="D190" s="11"/>
      <c r="E190" s="11"/>
      <c r="F190" s="11"/>
      <c r="G190" s="11"/>
      <c r="H190" s="11" t="str">
        <f>IF(AND(ROW()-1&lt;=教室申込!$K$5,教室申込!$K$7=0,COUNTA(教室申込!$C$4)=1),INDEX(展開用!$C$2:$C$601,MATCH(ROW()-1,展開用!$E$2:$E$601,0)),"")</f>
        <v/>
      </c>
      <c r="I190" s="11" t="str">
        <f>IF(AND(ROW()-1&lt;=教室申込!$K$5,教室申込!$K$7=0,COUNTA(教室申込!$C$4)=1),INDEX(展開用!$D$2:$D$601,MATCH(ROW()-1,展開用!$E$2:$E$601,0)),"")</f>
        <v/>
      </c>
      <c r="J190" s="11"/>
      <c r="K190" s="11"/>
      <c r="L190" s="11" t="str">
        <f>IF(AND(ROW()-1&lt;=教室申込!$K$5,教室申込!$K$7=0,COUNTA(教室申込!$C$4)=1),INDEX(教室申込!$B$1:$B$212,$AW190),"")</f>
        <v/>
      </c>
      <c r="M190" s="11" t="str">
        <f>IF(AND(ROW()-1&lt;=教室申込!$K$5,教室申込!$K$7=0,COUNTA(教室申込!$C$4)=1),INDEX(教室申込!$C$1:$C$212,$AW190),"")</f>
        <v/>
      </c>
      <c r="N190" s="11"/>
      <c r="O190" s="12" t="str">
        <f>IF(AND(ROW()-1&lt;=教室申込!$K$5,教室申込!$K$7=0,COUNTA(教室申込!$C$4)=1),INDEX(展開用!$G$2:$G$601,MATCH(ROW()-1,展開用!$E$2:$E$601,0)),"")</f>
        <v/>
      </c>
      <c r="P190" s="11"/>
      <c r="Q190" s="11"/>
      <c r="R190" s="11"/>
      <c r="S190" s="11"/>
      <c r="T190" s="11"/>
      <c r="U190" s="11" t="str">
        <f>IF(AND(ROW()-1&lt;=教室申込!$K$5,教室申込!$K$7=0,COUNTA(教室申込!$C$4)=1),INDEX(展開用!$F$2:$F$601,MATCH(ROW()-1,展開用!$E$2:$E$601,0)),"")</f>
        <v/>
      </c>
      <c r="V190" s="11"/>
      <c r="W190" s="11"/>
      <c r="X190" s="11"/>
      <c r="Y190" s="11"/>
      <c r="Z190" s="11"/>
      <c r="AA190" s="11" t="str">
        <f>IF($AW190="","",IF(INDEX(教室申込!$J$1:$J$212,$AW190)="","",INDEX(教室申込!$J$1:$J$212,$AW190)))</f>
        <v/>
      </c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" t="str">
        <f>IF(AND(ROW()-1&lt;=教室申込!$K$5,教室申込!$K$7=0,COUNTA(教室申込!$C$4)=1),INDEX(展開用!$B$2:$B$601,MATCH(ROW()-1,展開用!$E$2:$E$601,0)),"")</f>
        <v/>
      </c>
      <c r="AX190" s="1"/>
      <c r="AY190" s="1"/>
    </row>
    <row r="191" spans="1:51" ht="24" customHeight="1">
      <c r="A191" s="11"/>
      <c r="B191" s="11"/>
      <c r="C191" s="11"/>
      <c r="D191" s="11"/>
      <c r="E191" s="11"/>
      <c r="F191" s="11"/>
      <c r="G191" s="11"/>
      <c r="H191" s="11" t="str">
        <f>IF(AND(ROW()-1&lt;=教室申込!$K$5,教室申込!$K$7=0,COUNTA(教室申込!$C$4)=1),INDEX(展開用!$C$2:$C$601,MATCH(ROW()-1,展開用!$E$2:$E$601,0)),"")</f>
        <v/>
      </c>
      <c r="I191" s="11" t="str">
        <f>IF(AND(ROW()-1&lt;=教室申込!$K$5,教室申込!$K$7=0,COUNTA(教室申込!$C$4)=1),INDEX(展開用!$D$2:$D$601,MATCH(ROW()-1,展開用!$E$2:$E$601,0)),"")</f>
        <v/>
      </c>
      <c r="J191" s="11"/>
      <c r="K191" s="11"/>
      <c r="L191" s="11" t="str">
        <f>IF(AND(ROW()-1&lt;=教室申込!$K$5,教室申込!$K$7=0,COUNTA(教室申込!$C$4)=1),INDEX(教室申込!$B$1:$B$212,$AW191),"")</f>
        <v/>
      </c>
      <c r="M191" s="11" t="str">
        <f>IF(AND(ROW()-1&lt;=教室申込!$K$5,教室申込!$K$7=0,COUNTA(教室申込!$C$4)=1),INDEX(教室申込!$C$1:$C$212,$AW191),"")</f>
        <v/>
      </c>
      <c r="N191" s="11"/>
      <c r="O191" s="12" t="str">
        <f>IF(AND(ROW()-1&lt;=教室申込!$K$5,教室申込!$K$7=0,COUNTA(教室申込!$C$4)=1),INDEX(展開用!$G$2:$G$601,MATCH(ROW()-1,展開用!$E$2:$E$601,0)),"")</f>
        <v/>
      </c>
      <c r="P191" s="11"/>
      <c r="Q191" s="11"/>
      <c r="R191" s="11"/>
      <c r="S191" s="11"/>
      <c r="T191" s="11"/>
      <c r="U191" s="11" t="str">
        <f>IF(AND(ROW()-1&lt;=教室申込!$K$5,教室申込!$K$7=0,COUNTA(教室申込!$C$4)=1),INDEX(展開用!$F$2:$F$601,MATCH(ROW()-1,展開用!$E$2:$E$601,0)),"")</f>
        <v/>
      </c>
      <c r="V191" s="11"/>
      <c r="W191" s="11"/>
      <c r="X191" s="11"/>
      <c r="Y191" s="11"/>
      <c r="Z191" s="11"/>
      <c r="AA191" s="11" t="str">
        <f>IF($AW191="","",IF(INDEX(教室申込!$J$1:$J$212,$AW191)="","",INDEX(教室申込!$J$1:$J$212,$AW191)))</f>
        <v/>
      </c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" t="str">
        <f>IF(AND(ROW()-1&lt;=教室申込!$K$5,教室申込!$K$7=0,COUNTA(教室申込!$C$4)=1),INDEX(展開用!$B$2:$B$601,MATCH(ROW()-1,展開用!$E$2:$E$601,0)),"")</f>
        <v/>
      </c>
      <c r="AX191" s="1"/>
      <c r="AY191" s="1"/>
    </row>
    <row r="192" spans="1:51" ht="24" customHeight="1">
      <c r="A192" s="11"/>
      <c r="B192" s="11"/>
      <c r="C192" s="11"/>
      <c r="D192" s="11"/>
      <c r="E192" s="11"/>
      <c r="F192" s="11"/>
      <c r="G192" s="11"/>
      <c r="H192" s="11" t="str">
        <f>IF(AND(ROW()-1&lt;=教室申込!$K$5,教室申込!$K$7=0,COUNTA(教室申込!$C$4)=1),INDEX(展開用!$C$2:$C$601,MATCH(ROW()-1,展開用!$E$2:$E$601,0)),"")</f>
        <v/>
      </c>
      <c r="I192" s="11" t="str">
        <f>IF(AND(ROW()-1&lt;=教室申込!$K$5,教室申込!$K$7=0,COUNTA(教室申込!$C$4)=1),INDEX(展開用!$D$2:$D$601,MATCH(ROW()-1,展開用!$E$2:$E$601,0)),"")</f>
        <v/>
      </c>
      <c r="J192" s="11"/>
      <c r="K192" s="11"/>
      <c r="L192" s="11" t="str">
        <f>IF(AND(ROW()-1&lt;=教室申込!$K$5,教室申込!$K$7=0,COUNTA(教室申込!$C$4)=1),INDEX(教室申込!$B$1:$B$212,$AW192),"")</f>
        <v/>
      </c>
      <c r="M192" s="11" t="str">
        <f>IF(AND(ROW()-1&lt;=教室申込!$K$5,教室申込!$K$7=0,COUNTA(教室申込!$C$4)=1),INDEX(教室申込!$C$1:$C$212,$AW192),"")</f>
        <v/>
      </c>
      <c r="N192" s="11"/>
      <c r="O192" s="12" t="str">
        <f>IF(AND(ROW()-1&lt;=教室申込!$K$5,教室申込!$K$7=0,COUNTA(教室申込!$C$4)=1),INDEX(展開用!$G$2:$G$601,MATCH(ROW()-1,展開用!$E$2:$E$601,0)),"")</f>
        <v/>
      </c>
      <c r="P192" s="11"/>
      <c r="Q192" s="11"/>
      <c r="R192" s="11"/>
      <c r="S192" s="11"/>
      <c r="T192" s="11"/>
      <c r="U192" s="11" t="str">
        <f>IF(AND(ROW()-1&lt;=教室申込!$K$5,教室申込!$K$7=0,COUNTA(教室申込!$C$4)=1),INDEX(展開用!$F$2:$F$601,MATCH(ROW()-1,展開用!$E$2:$E$601,0)),"")</f>
        <v/>
      </c>
      <c r="V192" s="11"/>
      <c r="W192" s="11"/>
      <c r="X192" s="11"/>
      <c r="Y192" s="11"/>
      <c r="Z192" s="11"/>
      <c r="AA192" s="11" t="str">
        <f>IF($AW192="","",IF(INDEX(教室申込!$J$1:$J$212,$AW192)="","",INDEX(教室申込!$J$1:$J$212,$AW192)))</f>
        <v/>
      </c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" t="str">
        <f>IF(AND(ROW()-1&lt;=教室申込!$K$5,教室申込!$K$7=0,COUNTA(教室申込!$C$4)=1),INDEX(展開用!$B$2:$B$601,MATCH(ROW()-1,展開用!$E$2:$E$601,0)),"")</f>
        <v/>
      </c>
      <c r="AX192" s="1"/>
      <c r="AY192" s="1"/>
    </row>
    <row r="193" spans="1:51" ht="24" customHeight="1">
      <c r="A193" s="11"/>
      <c r="B193" s="11"/>
      <c r="C193" s="11"/>
      <c r="D193" s="11"/>
      <c r="E193" s="11"/>
      <c r="F193" s="11"/>
      <c r="G193" s="11"/>
      <c r="H193" s="11" t="str">
        <f>IF(AND(ROW()-1&lt;=教室申込!$K$5,教室申込!$K$7=0,COUNTA(教室申込!$C$4)=1),INDEX(展開用!$C$2:$C$601,MATCH(ROW()-1,展開用!$E$2:$E$601,0)),"")</f>
        <v/>
      </c>
      <c r="I193" s="11" t="str">
        <f>IF(AND(ROW()-1&lt;=教室申込!$K$5,教室申込!$K$7=0,COUNTA(教室申込!$C$4)=1),INDEX(展開用!$D$2:$D$601,MATCH(ROW()-1,展開用!$E$2:$E$601,0)),"")</f>
        <v/>
      </c>
      <c r="J193" s="11"/>
      <c r="K193" s="11"/>
      <c r="L193" s="11" t="str">
        <f>IF(AND(ROW()-1&lt;=教室申込!$K$5,教室申込!$K$7=0,COUNTA(教室申込!$C$4)=1),INDEX(教室申込!$B$1:$B$212,$AW193),"")</f>
        <v/>
      </c>
      <c r="M193" s="11" t="str">
        <f>IF(AND(ROW()-1&lt;=教室申込!$K$5,教室申込!$K$7=0,COUNTA(教室申込!$C$4)=1),INDEX(教室申込!$C$1:$C$212,$AW193),"")</f>
        <v/>
      </c>
      <c r="N193" s="11"/>
      <c r="O193" s="12" t="str">
        <f>IF(AND(ROW()-1&lt;=教室申込!$K$5,教室申込!$K$7=0,COUNTA(教室申込!$C$4)=1),INDEX(展開用!$G$2:$G$601,MATCH(ROW()-1,展開用!$E$2:$E$601,0)),"")</f>
        <v/>
      </c>
      <c r="P193" s="11"/>
      <c r="Q193" s="11"/>
      <c r="R193" s="11"/>
      <c r="S193" s="11"/>
      <c r="T193" s="11"/>
      <c r="U193" s="11" t="str">
        <f>IF(AND(ROW()-1&lt;=教室申込!$K$5,教室申込!$K$7=0,COUNTA(教室申込!$C$4)=1),INDEX(展開用!$F$2:$F$601,MATCH(ROW()-1,展開用!$E$2:$E$601,0)),"")</f>
        <v/>
      </c>
      <c r="V193" s="11"/>
      <c r="W193" s="11"/>
      <c r="X193" s="11"/>
      <c r="Y193" s="11"/>
      <c r="Z193" s="11"/>
      <c r="AA193" s="11" t="str">
        <f>IF($AW193="","",IF(INDEX(教室申込!$J$1:$J$212,$AW193)="","",INDEX(教室申込!$J$1:$J$212,$AW193)))</f>
        <v/>
      </c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" t="str">
        <f>IF(AND(ROW()-1&lt;=教室申込!$K$5,教室申込!$K$7=0,COUNTA(教室申込!$C$4)=1),INDEX(展開用!$B$2:$B$601,MATCH(ROW()-1,展開用!$E$2:$E$601,0)),"")</f>
        <v/>
      </c>
      <c r="AX193" s="1"/>
      <c r="AY193" s="1"/>
    </row>
    <row r="194" spans="1:51" ht="24" customHeight="1">
      <c r="A194" s="11"/>
      <c r="B194" s="11"/>
      <c r="C194" s="11"/>
      <c r="D194" s="11"/>
      <c r="E194" s="11"/>
      <c r="F194" s="11"/>
      <c r="G194" s="11"/>
      <c r="H194" s="11" t="str">
        <f>IF(AND(ROW()-1&lt;=教室申込!$K$5,教室申込!$K$7=0,COUNTA(教室申込!$C$4)=1),INDEX(展開用!$C$2:$C$601,MATCH(ROW()-1,展開用!$E$2:$E$601,0)),"")</f>
        <v/>
      </c>
      <c r="I194" s="11" t="str">
        <f>IF(AND(ROW()-1&lt;=教室申込!$K$5,教室申込!$K$7=0,COUNTA(教室申込!$C$4)=1),INDEX(展開用!$D$2:$D$601,MATCH(ROW()-1,展開用!$E$2:$E$601,0)),"")</f>
        <v/>
      </c>
      <c r="J194" s="11"/>
      <c r="K194" s="11"/>
      <c r="L194" s="11" t="str">
        <f>IF(AND(ROW()-1&lt;=教室申込!$K$5,教室申込!$K$7=0,COUNTA(教室申込!$C$4)=1),INDEX(教室申込!$B$1:$B$212,$AW194),"")</f>
        <v/>
      </c>
      <c r="M194" s="11" t="str">
        <f>IF(AND(ROW()-1&lt;=教室申込!$K$5,教室申込!$K$7=0,COUNTA(教室申込!$C$4)=1),INDEX(教室申込!$C$1:$C$212,$AW194),"")</f>
        <v/>
      </c>
      <c r="N194" s="11"/>
      <c r="O194" s="12" t="str">
        <f>IF(AND(ROW()-1&lt;=教室申込!$K$5,教室申込!$K$7=0,COUNTA(教室申込!$C$4)=1),INDEX(展開用!$G$2:$G$601,MATCH(ROW()-1,展開用!$E$2:$E$601,0)),"")</f>
        <v/>
      </c>
      <c r="P194" s="11"/>
      <c r="Q194" s="11"/>
      <c r="R194" s="11"/>
      <c r="S194" s="11"/>
      <c r="T194" s="11"/>
      <c r="U194" s="11" t="str">
        <f>IF(AND(ROW()-1&lt;=教室申込!$K$5,教室申込!$K$7=0,COUNTA(教室申込!$C$4)=1),INDEX(展開用!$F$2:$F$601,MATCH(ROW()-1,展開用!$E$2:$E$601,0)),"")</f>
        <v/>
      </c>
      <c r="V194" s="11"/>
      <c r="W194" s="11"/>
      <c r="X194" s="11"/>
      <c r="Y194" s="11"/>
      <c r="Z194" s="11"/>
      <c r="AA194" s="11" t="str">
        <f>IF($AW194="","",IF(INDEX(教室申込!$J$1:$J$212,$AW194)="","",INDEX(教室申込!$J$1:$J$212,$AW194)))</f>
        <v/>
      </c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" t="str">
        <f>IF(AND(ROW()-1&lt;=教室申込!$K$5,教室申込!$K$7=0,COUNTA(教室申込!$C$4)=1),INDEX(展開用!$B$2:$B$601,MATCH(ROW()-1,展開用!$E$2:$E$601,0)),"")</f>
        <v/>
      </c>
      <c r="AX194" s="1"/>
      <c r="AY194" s="1"/>
    </row>
    <row r="195" spans="1:51" ht="24" customHeight="1">
      <c r="A195" s="11"/>
      <c r="B195" s="11"/>
      <c r="C195" s="11"/>
      <c r="D195" s="11"/>
      <c r="E195" s="11"/>
      <c r="F195" s="11"/>
      <c r="G195" s="11"/>
      <c r="H195" s="11" t="str">
        <f>IF(AND(ROW()-1&lt;=教室申込!$K$5,教室申込!$K$7=0,COUNTA(教室申込!$C$4)=1),INDEX(展開用!$C$2:$C$601,MATCH(ROW()-1,展開用!$E$2:$E$601,0)),"")</f>
        <v/>
      </c>
      <c r="I195" s="11" t="str">
        <f>IF(AND(ROW()-1&lt;=教室申込!$K$5,教室申込!$K$7=0,COUNTA(教室申込!$C$4)=1),INDEX(展開用!$D$2:$D$601,MATCH(ROW()-1,展開用!$E$2:$E$601,0)),"")</f>
        <v/>
      </c>
      <c r="J195" s="11"/>
      <c r="K195" s="11"/>
      <c r="L195" s="11" t="str">
        <f>IF(AND(ROW()-1&lt;=教室申込!$K$5,教室申込!$K$7=0,COUNTA(教室申込!$C$4)=1),INDEX(教室申込!$B$1:$B$212,$AW195),"")</f>
        <v/>
      </c>
      <c r="M195" s="11" t="str">
        <f>IF(AND(ROW()-1&lt;=教室申込!$K$5,教室申込!$K$7=0,COUNTA(教室申込!$C$4)=1),INDEX(教室申込!$C$1:$C$212,$AW195),"")</f>
        <v/>
      </c>
      <c r="N195" s="11"/>
      <c r="O195" s="12" t="str">
        <f>IF(AND(ROW()-1&lt;=教室申込!$K$5,教室申込!$K$7=0,COUNTA(教室申込!$C$4)=1),INDEX(展開用!$G$2:$G$601,MATCH(ROW()-1,展開用!$E$2:$E$601,0)),"")</f>
        <v/>
      </c>
      <c r="P195" s="11"/>
      <c r="Q195" s="11"/>
      <c r="R195" s="11"/>
      <c r="S195" s="11"/>
      <c r="T195" s="11"/>
      <c r="U195" s="11" t="str">
        <f>IF(AND(ROW()-1&lt;=教室申込!$K$5,教室申込!$K$7=0,COUNTA(教室申込!$C$4)=1),INDEX(展開用!$F$2:$F$601,MATCH(ROW()-1,展開用!$E$2:$E$601,0)),"")</f>
        <v/>
      </c>
      <c r="V195" s="11"/>
      <c r="W195" s="11"/>
      <c r="X195" s="11"/>
      <c r="Y195" s="11"/>
      <c r="Z195" s="11"/>
      <c r="AA195" s="11" t="str">
        <f>IF($AW195="","",IF(INDEX(教室申込!$J$1:$J$212,$AW195)="","",INDEX(教室申込!$J$1:$J$212,$AW195)))</f>
        <v/>
      </c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" t="str">
        <f>IF(AND(ROW()-1&lt;=教室申込!$K$5,教室申込!$K$7=0,COUNTA(教室申込!$C$4)=1),INDEX(展開用!$B$2:$B$601,MATCH(ROW()-1,展開用!$E$2:$E$601,0)),"")</f>
        <v/>
      </c>
      <c r="AX195" s="1"/>
      <c r="AY195" s="1"/>
    </row>
    <row r="196" spans="1:51" ht="24" customHeight="1">
      <c r="A196" s="11"/>
      <c r="B196" s="11"/>
      <c r="C196" s="11"/>
      <c r="D196" s="11"/>
      <c r="E196" s="11"/>
      <c r="F196" s="11"/>
      <c r="G196" s="11"/>
      <c r="H196" s="11" t="str">
        <f>IF(AND(ROW()-1&lt;=教室申込!$K$5,教室申込!$K$7=0,COUNTA(教室申込!$C$4)=1),INDEX(展開用!$C$2:$C$601,MATCH(ROW()-1,展開用!$E$2:$E$601,0)),"")</f>
        <v/>
      </c>
      <c r="I196" s="11" t="str">
        <f>IF(AND(ROW()-1&lt;=教室申込!$K$5,教室申込!$K$7=0,COUNTA(教室申込!$C$4)=1),INDEX(展開用!$D$2:$D$601,MATCH(ROW()-1,展開用!$E$2:$E$601,0)),"")</f>
        <v/>
      </c>
      <c r="J196" s="11"/>
      <c r="K196" s="11"/>
      <c r="L196" s="11" t="str">
        <f>IF(AND(ROW()-1&lt;=教室申込!$K$5,教室申込!$K$7=0,COUNTA(教室申込!$C$4)=1),INDEX(教室申込!$B$1:$B$212,$AW196),"")</f>
        <v/>
      </c>
      <c r="M196" s="11" t="str">
        <f>IF(AND(ROW()-1&lt;=教室申込!$K$5,教室申込!$K$7=0,COUNTA(教室申込!$C$4)=1),INDEX(教室申込!$C$1:$C$212,$AW196),"")</f>
        <v/>
      </c>
      <c r="N196" s="11"/>
      <c r="O196" s="12" t="str">
        <f>IF(AND(ROW()-1&lt;=教室申込!$K$5,教室申込!$K$7=0,COUNTA(教室申込!$C$4)=1),INDEX(展開用!$G$2:$G$601,MATCH(ROW()-1,展開用!$E$2:$E$601,0)),"")</f>
        <v/>
      </c>
      <c r="P196" s="11"/>
      <c r="Q196" s="11"/>
      <c r="R196" s="11"/>
      <c r="S196" s="11"/>
      <c r="T196" s="11"/>
      <c r="U196" s="11" t="str">
        <f>IF(AND(ROW()-1&lt;=教室申込!$K$5,教室申込!$K$7=0,COUNTA(教室申込!$C$4)=1),INDEX(展開用!$F$2:$F$601,MATCH(ROW()-1,展開用!$E$2:$E$601,0)),"")</f>
        <v/>
      </c>
      <c r="V196" s="11"/>
      <c r="W196" s="11"/>
      <c r="X196" s="11"/>
      <c r="Y196" s="11"/>
      <c r="Z196" s="11"/>
      <c r="AA196" s="11" t="str">
        <f>IF($AW196="","",IF(INDEX(教室申込!$J$1:$J$212,$AW196)="","",INDEX(教室申込!$J$1:$J$212,$AW196)))</f>
        <v/>
      </c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" t="str">
        <f>IF(AND(ROW()-1&lt;=教室申込!$K$5,教室申込!$K$7=0,COUNTA(教室申込!$C$4)=1),INDEX(展開用!$B$2:$B$601,MATCH(ROW()-1,展開用!$E$2:$E$601,0)),"")</f>
        <v/>
      </c>
      <c r="AX196" s="1"/>
      <c r="AY196" s="1"/>
    </row>
    <row r="197" spans="1:51" ht="24" customHeight="1">
      <c r="A197" s="11"/>
      <c r="B197" s="11"/>
      <c r="C197" s="11"/>
      <c r="D197" s="11"/>
      <c r="E197" s="11"/>
      <c r="F197" s="11"/>
      <c r="G197" s="11"/>
      <c r="H197" s="11" t="str">
        <f>IF(AND(ROW()-1&lt;=教室申込!$K$5,教室申込!$K$7=0,COUNTA(教室申込!$C$4)=1),INDEX(展開用!$C$2:$C$601,MATCH(ROW()-1,展開用!$E$2:$E$601,0)),"")</f>
        <v/>
      </c>
      <c r="I197" s="11" t="str">
        <f>IF(AND(ROW()-1&lt;=教室申込!$K$5,教室申込!$K$7=0,COUNTA(教室申込!$C$4)=1),INDEX(展開用!$D$2:$D$601,MATCH(ROW()-1,展開用!$E$2:$E$601,0)),"")</f>
        <v/>
      </c>
      <c r="J197" s="11"/>
      <c r="K197" s="11"/>
      <c r="L197" s="11" t="str">
        <f>IF(AND(ROW()-1&lt;=教室申込!$K$5,教室申込!$K$7=0,COUNTA(教室申込!$C$4)=1),INDEX(教室申込!$B$1:$B$212,$AW197),"")</f>
        <v/>
      </c>
      <c r="M197" s="11" t="str">
        <f>IF(AND(ROW()-1&lt;=教室申込!$K$5,教室申込!$K$7=0,COUNTA(教室申込!$C$4)=1),INDEX(教室申込!$C$1:$C$212,$AW197),"")</f>
        <v/>
      </c>
      <c r="N197" s="11"/>
      <c r="O197" s="12" t="str">
        <f>IF(AND(ROW()-1&lt;=教室申込!$K$5,教室申込!$K$7=0,COUNTA(教室申込!$C$4)=1),INDEX(展開用!$G$2:$G$601,MATCH(ROW()-1,展開用!$E$2:$E$601,0)),"")</f>
        <v/>
      </c>
      <c r="P197" s="11"/>
      <c r="Q197" s="11"/>
      <c r="R197" s="11"/>
      <c r="S197" s="11"/>
      <c r="T197" s="11"/>
      <c r="U197" s="11" t="str">
        <f>IF(AND(ROW()-1&lt;=教室申込!$K$5,教室申込!$K$7=0,COUNTA(教室申込!$C$4)=1),INDEX(展開用!$F$2:$F$601,MATCH(ROW()-1,展開用!$E$2:$E$601,0)),"")</f>
        <v/>
      </c>
      <c r="V197" s="11"/>
      <c r="W197" s="11"/>
      <c r="X197" s="11"/>
      <c r="Y197" s="11"/>
      <c r="Z197" s="11"/>
      <c r="AA197" s="11" t="str">
        <f>IF($AW197="","",IF(INDEX(教室申込!$J$1:$J$212,$AW197)="","",INDEX(教室申込!$J$1:$J$212,$AW197)))</f>
        <v/>
      </c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" t="str">
        <f>IF(AND(ROW()-1&lt;=教室申込!$K$5,教室申込!$K$7=0,COUNTA(教室申込!$C$4)=1),INDEX(展開用!$B$2:$B$601,MATCH(ROW()-1,展開用!$E$2:$E$601,0)),"")</f>
        <v/>
      </c>
      <c r="AX197" s="1"/>
      <c r="AY197" s="1"/>
    </row>
    <row r="198" spans="1:51" ht="24" customHeight="1">
      <c r="A198" s="11"/>
      <c r="B198" s="11"/>
      <c r="C198" s="11"/>
      <c r="D198" s="11"/>
      <c r="E198" s="11"/>
      <c r="F198" s="11"/>
      <c r="G198" s="11"/>
      <c r="H198" s="11" t="str">
        <f>IF(AND(ROW()-1&lt;=教室申込!$K$5,教室申込!$K$7=0,COUNTA(教室申込!$C$4)=1),INDEX(展開用!$C$2:$C$601,MATCH(ROW()-1,展開用!$E$2:$E$601,0)),"")</f>
        <v/>
      </c>
      <c r="I198" s="11" t="str">
        <f>IF(AND(ROW()-1&lt;=教室申込!$K$5,教室申込!$K$7=0,COUNTA(教室申込!$C$4)=1),INDEX(展開用!$D$2:$D$601,MATCH(ROW()-1,展開用!$E$2:$E$601,0)),"")</f>
        <v/>
      </c>
      <c r="J198" s="11"/>
      <c r="K198" s="11"/>
      <c r="L198" s="11" t="str">
        <f>IF(AND(ROW()-1&lt;=教室申込!$K$5,教室申込!$K$7=0,COUNTA(教室申込!$C$4)=1),INDEX(教室申込!$B$1:$B$212,$AW198),"")</f>
        <v/>
      </c>
      <c r="M198" s="11" t="str">
        <f>IF(AND(ROW()-1&lt;=教室申込!$K$5,教室申込!$K$7=0,COUNTA(教室申込!$C$4)=1),INDEX(教室申込!$C$1:$C$212,$AW198),"")</f>
        <v/>
      </c>
      <c r="N198" s="11"/>
      <c r="O198" s="12" t="str">
        <f>IF(AND(ROW()-1&lt;=教室申込!$K$5,教室申込!$K$7=0,COUNTA(教室申込!$C$4)=1),INDEX(展開用!$G$2:$G$601,MATCH(ROW()-1,展開用!$E$2:$E$601,0)),"")</f>
        <v/>
      </c>
      <c r="P198" s="11"/>
      <c r="Q198" s="11"/>
      <c r="R198" s="11"/>
      <c r="S198" s="11"/>
      <c r="T198" s="11"/>
      <c r="U198" s="11" t="str">
        <f>IF(AND(ROW()-1&lt;=教室申込!$K$5,教室申込!$K$7=0,COUNTA(教室申込!$C$4)=1),INDEX(展開用!$F$2:$F$601,MATCH(ROW()-1,展開用!$E$2:$E$601,0)),"")</f>
        <v/>
      </c>
      <c r="V198" s="11"/>
      <c r="W198" s="11"/>
      <c r="X198" s="11"/>
      <c r="Y198" s="11"/>
      <c r="Z198" s="11"/>
      <c r="AA198" s="11" t="str">
        <f>IF($AW198="","",IF(INDEX(教室申込!$J$1:$J$212,$AW198)="","",INDEX(教室申込!$J$1:$J$212,$AW198)))</f>
        <v/>
      </c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" t="str">
        <f>IF(AND(ROW()-1&lt;=教室申込!$K$5,教室申込!$K$7=0,COUNTA(教室申込!$C$4)=1),INDEX(展開用!$B$2:$B$601,MATCH(ROW()-1,展開用!$E$2:$E$601,0)),"")</f>
        <v/>
      </c>
      <c r="AX198" s="1"/>
      <c r="AY198" s="1"/>
    </row>
    <row r="199" spans="1:51" ht="24" customHeight="1">
      <c r="A199" s="11"/>
      <c r="B199" s="11"/>
      <c r="C199" s="11"/>
      <c r="D199" s="11"/>
      <c r="E199" s="11"/>
      <c r="F199" s="11"/>
      <c r="G199" s="11"/>
      <c r="H199" s="11" t="str">
        <f>IF(AND(ROW()-1&lt;=教室申込!$K$5,教室申込!$K$7=0,COUNTA(教室申込!$C$4)=1),INDEX(展開用!$C$2:$C$601,MATCH(ROW()-1,展開用!$E$2:$E$601,0)),"")</f>
        <v/>
      </c>
      <c r="I199" s="11" t="str">
        <f>IF(AND(ROW()-1&lt;=教室申込!$K$5,教室申込!$K$7=0,COUNTA(教室申込!$C$4)=1),INDEX(展開用!$D$2:$D$601,MATCH(ROW()-1,展開用!$E$2:$E$601,0)),"")</f>
        <v/>
      </c>
      <c r="J199" s="11"/>
      <c r="K199" s="11"/>
      <c r="L199" s="11" t="str">
        <f>IF(AND(ROW()-1&lt;=教室申込!$K$5,教室申込!$K$7=0,COUNTA(教室申込!$C$4)=1),INDEX(教室申込!$B$1:$B$212,$AW199),"")</f>
        <v/>
      </c>
      <c r="M199" s="11" t="str">
        <f>IF(AND(ROW()-1&lt;=教室申込!$K$5,教室申込!$K$7=0,COUNTA(教室申込!$C$4)=1),INDEX(教室申込!$C$1:$C$212,$AW199),"")</f>
        <v/>
      </c>
      <c r="N199" s="11"/>
      <c r="O199" s="12" t="str">
        <f>IF(AND(ROW()-1&lt;=教室申込!$K$5,教室申込!$K$7=0,COUNTA(教室申込!$C$4)=1),INDEX(展開用!$G$2:$G$601,MATCH(ROW()-1,展開用!$E$2:$E$601,0)),"")</f>
        <v/>
      </c>
      <c r="P199" s="11"/>
      <c r="Q199" s="11"/>
      <c r="R199" s="11"/>
      <c r="S199" s="11"/>
      <c r="T199" s="11"/>
      <c r="U199" s="11" t="str">
        <f>IF(AND(ROW()-1&lt;=教室申込!$K$5,教室申込!$K$7=0,COUNTA(教室申込!$C$4)=1),INDEX(展開用!$F$2:$F$601,MATCH(ROW()-1,展開用!$E$2:$E$601,0)),"")</f>
        <v/>
      </c>
      <c r="V199" s="11"/>
      <c r="W199" s="11"/>
      <c r="X199" s="11"/>
      <c r="Y199" s="11"/>
      <c r="Z199" s="11"/>
      <c r="AA199" s="11" t="str">
        <f>IF($AW199="","",IF(INDEX(教室申込!$J$1:$J$212,$AW199)="","",INDEX(教室申込!$J$1:$J$212,$AW199)))</f>
        <v/>
      </c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" t="str">
        <f>IF(AND(ROW()-1&lt;=教室申込!$K$5,教室申込!$K$7=0,COUNTA(教室申込!$C$4)=1),INDEX(展開用!$B$2:$B$601,MATCH(ROW()-1,展開用!$E$2:$E$601,0)),"")</f>
        <v/>
      </c>
      <c r="AX199" s="1"/>
      <c r="AY199" s="1"/>
    </row>
    <row r="200" spans="1:51" ht="24" customHeight="1">
      <c r="A200" s="11"/>
      <c r="B200" s="11"/>
      <c r="C200" s="11"/>
      <c r="D200" s="11"/>
      <c r="E200" s="11"/>
      <c r="F200" s="11"/>
      <c r="G200" s="11"/>
      <c r="H200" s="11" t="str">
        <f>IF(AND(ROW()-1&lt;=教室申込!$K$5,教室申込!$K$7=0,COUNTA(教室申込!$C$4)=1),INDEX(展開用!$C$2:$C$601,MATCH(ROW()-1,展開用!$E$2:$E$601,0)),"")</f>
        <v/>
      </c>
      <c r="I200" s="11" t="str">
        <f>IF(AND(ROW()-1&lt;=教室申込!$K$5,教室申込!$K$7=0,COUNTA(教室申込!$C$4)=1),INDEX(展開用!$D$2:$D$601,MATCH(ROW()-1,展開用!$E$2:$E$601,0)),"")</f>
        <v/>
      </c>
      <c r="J200" s="11"/>
      <c r="K200" s="11"/>
      <c r="L200" s="11" t="str">
        <f>IF(AND(ROW()-1&lt;=教室申込!$K$5,教室申込!$K$7=0,COUNTA(教室申込!$C$4)=1),INDEX(教室申込!$B$1:$B$212,$AW200),"")</f>
        <v/>
      </c>
      <c r="M200" s="11" t="str">
        <f>IF(AND(ROW()-1&lt;=教室申込!$K$5,教室申込!$K$7=0,COUNTA(教室申込!$C$4)=1),INDEX(教室申込!$C$1:$C$212,$AW200),"")</f>
        <v/>
      </c>
      <c r="N200" s="11"/>
      <c r="O200" s="12" t="str">
        <f>IF(AND(ROW()-1&lt;=教室申込!$K$5,教室申込!$K$7=0,COUNTA(教室申込!$C$4)=1),INDEX(展開用!$G$2:$G$601,MATCH(ROW()-1,展開用!$E$2:$E$601,0)),"")</f>
        <v/>
      </c>
      <c r="P200" s="11"/>
      <c r="Q200" s="11"/>
      <c r="R200" s="11"/>
      <c r="S200" s="11"/>
      <c r="T200" s="11"/>
      <c r="U200" s="11" t="str">
        <f>IF(AND(ROW()-1&lt;=教室申込!$K$5,教室申込!$K$7=0,COUNTA(教室申込!$C$4)=1),INDEX(展開用!$F$2:$F$601,MATCH(ROW()-1,展開用!$E$2:$E$601,0)),"")</f>
        <v/>
      </c>
      <c r="V200" s="11"/>
      <c r="W200" s="11"/>
      <c r="X200" s="11"/>
      <c r="Y200" s="11"/>
      <c r="Z200" s="11"/>
      <c r="AA200" s="11" t="str">
        <f>IF($AW200="","",IF(INDEX(教室申込!$J$1:$J$212,$AW200)="","",INDEX(教室申込!$J$1:$J$212,$AW200)))</f>
        <v/>
      </c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" t="str">
        <f>IF(AND(ROW()-1&lt;=教室申込!$K$5,教室申込!$K$7=0,COUNTA(教室申込!$C$4)=1),INDEX(展開用!$B$2:$B$601,MATCH(ROW()-1,展開用!$E$2:$E$601,0)),"")</f>
        <v/>
      </c>
      <c r="AX200" s="1"/>
      <c r="AY200" s="1"/>
    </row>
    <row r="201" spans="1:51" ht="24" customHeight="1">
      <c r="A201" s="11"/>
      <c r="B201" s="11"/>
      <c r="C201" s="11"/>
      <c r="D201" s="11"/>
      <c r="E201" s="11"/>
      <c r="F201" s="11"/>
      <c r="G201" s="11"/>
      <c r="H201" s="11" t="str">
        <f>IF(AND(ROW()-1&lt;=教室申込!$K$5,教室申込!$K$7=0,COUNTA(教室申込!$C$4)=1),INDEX(展開用!$C$2:$C$601,MATCH(ROW()-1,展開用!$E$2:$E$601,0)),"")</f>
        <v/>
      </c>
      <c r="I201" s="11" t="str">
        <f>IF(AND(ROW()-1&lt;=教室申込!$K$5,教室申込!$K$7=0,COUNTA(教室申込!$C$4)=1),INDEX(展開用!$D$2:$D$601,MATCH(ROW()-1,展開用!$E$2:$E$601,0)),"")</f>
        <v/>
      </c>
      <c r="J201" s="11"/>
      <c r="K201" s="11"/>
      <c r="L201" s="11" t="str">
        <f>IF(AND(ROW()-1&lt;=教室申込!$K$5,教室申込!$K$7=0,COUNTA(教室申込!$C$4)=1),INDEX(教室申込!$B$1:$B$212,$AW201),"")</f>
        <v/>
      </c>
      <c r="M201" s="11" t="str">
        <f>IF(AND(ROW()-1&lt;=教室申込!$K$5,教室申込!$K$7=0,COUNTA(教室申込!$C$4)=1),INDEX(教室申込!$C$1:$C$212,$AW201),"")</f>
        <v/>
      </c>
      <c r="N201" s="11"/>
      <c r="O201" s="12" t="str">
        <f>IF(AND(ROW()-1&lt;=教室申込!$K$5,教室申込!$K$7=0,COUNTA(教室申込!$C$4)=1),INDEX(展開用!$G$2:$G$601,MATCH(ROW()-1,展開用!$E$2:$E$601,0)),"")</f>
        <v/>
      </c>
      <c r="P201" s="11"/>
      <c r="Q201" s="11"/>
      <c r="R201" s="11"/>
      <c r="S201" s="11"/>
      <c r="T201" s="11"/>
      <c r="U201" s="11" t="str">
        <f>IF(AND(ROW()-1&lt;=教室申込!$K$5,教室申込!$K$7=0,COUNTA(教室申込!$C$4)=1),INDEX(展開用!$F$2:$F$601,MATCH(ROW()-1,展開用!$E$2:$E$601,0)),"")</f>
        <v/>
      </c>
      <c r="V201" s="11"/>
      <c r="W201" s="11"/>
      <c r="X201" s="11"/>
      <c r="Y201" s="11"/>
      <c r="Z201" s="11"/>
      <c r="AA201" s="11" t="str">
        <f>IF($AW201="","",IF(INDEX(教室申込!$J$1:$J$212,$AW201)="","",INDEX(教室申込!$J$1:$J$212,$AW201)))</f>
        <v/>
      </c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" t="str">
        <f>IF(AND(ROW()-1&lt;=教室申込!$K$5,教室申込!$K$7=0,COUNTA(教室申込!$C$4)=1),INDEX(展開用!$B$2:$B$601,MATCH(ROW()-1,展開用!$E$2:$E$601,0)),"")</f>
        <v/>
      </c>
      <c r="AX201" s="1"/>
      <c r="AY201" s="1"/>
    </row>
    <row r="202" spans="1:51" ht="24" customHeight="1">
      <c r="A202" s="11"/>
      <c r="B202" s="11"/>
      <c r="C202" s="11"/>
      <c r="D202" s="11"/>
      <c r="E202" s="11"/>
      <c r="F202" s="11"/>
      <c r="G202" s="11"/>
      <c r="H202" s="11" t="str">
        <f>IF(AND(ROW()-1&lt;=教室申込!$K$5,教室申込!$K$7=0,COUNTA(教室申込!$C$4)=1),INDEX(展開用!$C$2:$C$601,MATCH(ROW()-1,展開用!$E$2:$E$601,0)),"")</f>
        <v/>
      </c>
      <c r="I202" s="11" t="str">
        <f>IF(AND(ROW()-1&lt;=教室申込!$K$5,教室申込!$K$7=0,COUNTA(教室申込!$C$4)=1),INDEX(展開用!$D$2:$D$601,MATCH(ROW()-1,展開用!$E$2:$E$601,0)),"")</f>
        <v/>
      </c>
      <c r="J202" s="11"/>
      <c r="K202" s="11"/>
      <c r="L202" s="11" t="str">
        <f>IF(AND(ROW()-1&lt;=教室申込!$K$5,教室申込!$K$7=0,COUNTA(教室申込!$C$4)=1),INDEX(教室申込!$B$1:$B$212,$AW202),"")</f>
        <v/>
      </c>
      <c r="M202" s="11" t="str">
        <f>IF(AND(ROW()-1&lt;=教室申込!$K$5,教室申込!$K$7=0,COUNTA(教室申込!$C$4)=1),INDEX(教室申込!$C$1:$C$212,$AW202),"")</f>
        <v/>
      </c>
      <c r="N202" s="11"/>
      <c r="O202" s="12" t="str">
        <f>IF(AND(ROW()-1&lt;=教室申込!$K$5,教室申込!$K$7=0,COUNTA(教室申込!$C$4)=1),INDEX(展開用!$G$2:$G$601,MATCH(ROW()-1,展開用!$E$2:$E$601,0)),"")</f>
        <v/>
      </c>
      <c r="P202" s="11"/>
      <c r="Q202" s="11"/>
      <c r="R202" s="11"/>
      <c r="S202" s="11"/>
      <c r="T202" s="11"/>
      <c r="U202" s="11" t="str">
        <f>IF(AND(ROW()-1&lt;=教室申込!$K$5,教室申込!$K$7=0,COUNTA(教室申込!$C$4)=1),INDEX(展開用!$F$2:$F$601,MATCH(ROW()-1,展開用!$E$2:$E$601,0)),"")</f>
        <v/>
      </c>
      <c r="V202" s="11"/>
      <c r="W202" s="11"/>
      <c r="X202" s="11"/>
      <c r="Y202" s="11"/>
      <c r="Z202" s="11"/>
      <c r="AA202" s="11" t="str">
        <f>IF($AW202="","",IF(INDEX(教室申込!$J$1:$J$212,$AW202)="","",INDEX(教室申込!$J$1:$J$212,$AW202)))</f>
        <v/>
      </c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" t="str">
        <f>IF(AND(ROW()-1&lt;=教室申込!$K$5,教室申込!$K$7=0,COUNTA(教室申込!$C$4)=1),INDEX(展開用!$B$2:$B$601,MATCH(ROW()-1,展開用!$E$2:$E$601,0)),"")</f>
        <v/>
      </c>
      <c r="AX202" s="1"/>
      <c r="AY202" s="1"/>
    </row>
    <row r="203" spans="1:51" ht="24" customHeight="1">
      <c r="A203" s="11"/>
      <c r="B203" s="11"/>
      <c r="C203" s="11"/>
      <c r="D203" s="11"/>
      <c r="E203" s="11"/>
      <c r="F203" s="11"/>
      <c r="G203" s="11"/>
      <c r="H203" s="11" t="str">
        <f>IF(AND(ROW()-1&lt;=教室申込!$K$5,教室申込!$K$7=0,COUNTA(教室申込!$C$4)=1),INDEX(展開用!$C$2:$C$601,MATCH(ROW()-1,展開用!$E$2:$E$601,0)),"")</f>
        <v/>
      </c>
      <c r="I203" s="11" t="str">
        <f>IF(AND(ROW()-1&lt;=教室申込!$K$5,教室申込!$K$7=0,COUNTA(教室申込!$C$4)=1),INDEX(展開用!$D$2:$D$601,MATCH(ROW()-1,展開用!$E$2:$E$601,0)),"")</f>
        <v/>
      </c>
      <c r="J203" s="11"/>
      <c r="K203" s="11"/>
      <c r="L203" s="11" t="str">
        <f>IF(AND(ROW()-1&lt;=教室申込!$K$5,教室申込!$K$7=0,COUNTA(教室申込!$C$4)=1),INDEX(教室申込!$B$1:$B$212,$AW203),"")</f>
        <v/>
      </c>
      <c r="M203" s="11" t="str">
        <f>IF(AND(ROW()-1&lt;=教室申込!$K$5,教室申込!$K$7=0,COUNTA(教室申込!$C$4)=1),INDEX(教室申込!$C$1:$C$212,$AW203),"")</f>
        <v/>
      </c>
      <c r="N203" s="11"/>
      <c r="O203" s="12" t="str">
        <f>IF(AND(ROW()-1&lt;=教室申込!$K$5,教室申込!$K$7=0,COUNTA(教室申込!$C$4)=1),INDEX(展開用!$G$2:$G$601,MATCH(ROW()-1,展開用!$E$2:$E$601,0)),"")</f>
        <v/>
      </c>
      <c r="P203" s="11"/>
      <c r="Q203" s="11"/>
      <c r="R203" s="11"/>
      <c r="S203" s="11"/>
      <c r="T203" s="11"/>
      <c r="U203" s="11" t="str">
        <f>IF(AND(ROW()-1&lt;=教室申込!$K$5,教室申込!$K$7=0,COUNTA(教室申込!$C$4)=1),INDEX(展開用!$F$2:$F$601,MATCH(ROW()-1,展開用!$E$2:$E$601,0)),"")</f>
        <v/>
      </c>
      <c r="V203" s="11"/>
      <c r="W203" s="11"/>
      <c r="X203" s="11"/>
      <c r="Y203" s="11"/>
      <c r="Z203" s="11"/>
      <c r="AA203" s="11" t="str">
        <f>IF($AW203="","",IF(INDEX(教室申込!$J$1:$J$212,$AW203)="","",INDEX(教室申込!$J$1:$J$212,$AW203)))</f>
        <v/>
      </c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" t="str">
        <f>IF(AND(ROW()-1&lt;=教室申込!$K$5,教室申込!$K$7=0,COUNTA(教室申込!$C$4)=1),INDEX(展開用!$B$2:$B$601,MATCH(ROW()-1,展開用!$E$2:$E$601,0)),"")</f>
        <v/>
      </c>
      <c r="AX203" s="1"/>
      <c r="AY203" s="1"/>
    </row>
    <row r="204" spans="1:51" ht="24" customHeight="1">
      <c r="A204" s="11"/>
      <c r="B204" s="11"/>
      <c r="C204" s="11"/>
      <c r="D204" s="11"/>
      <c r="E204" s="11"/>
      <c r="F204" s="11"/>
      <c r="G204" s="11"/>
      <c r="H204" s="11" t="str">
        <f>IF(AND(ROW()-1&lt;=教室申込!$K$5,教室申込!$K$7=0,COUNTA(教室申込!$C$4)=1),INDEX(展開用!$C$2:$C$601,MATCH(ROW()-1,展開用!$E$2:$E$601,0)),"")</f>
        <v/>
      </c>
      <c r="I204" s="11" t="str">
        <f>IF(AND(ROW()-1&lt;=教室申込!$K$5,教室申込!$K$7=0,COUNTA(教室申込!$C$4)=1),INDEX(展開用!$D$2:$D$601,MATCH(ROW()-1,展開用!$E$2:$E$601,0)),"")</f>
        <v/>
      </c>
      <c r="J204" s="11"/>
      <c r="K204" s="11"/>
      <c r="L204" s="11" t="str">
        <f>IF(AND(ROW()-1&lt;=教室申込!$K$5,教室申込!$K$7=0,COUNTA(教室申込!$C$4)=1),INDEX(教室申込!$B$1:$B$212,$AW204),"")</f>
        <v/>
      </c>
      <c r="M204" s="11" t="str">
        <f>IF(AND(ROW()-1&lt;=教室申込!$K$5,教室申込!$K$7=0,COUNTA(教室申込!$C$4)=1),INDEX(教室申込!$C$1:$C$212,$AW204),"")</f>
        <v/>
      </c>
      <c r="N204" s="11"/>
      <c r="O204" s="12" t="str">
        <f>IF(AND(ROW()-1&lt;=教室申込!$K$5,教室申込!$K$7=0,COUNTA(教室申込!$C$4)=1),INDEX(展開用!$G$2:$G$601,MATCH(ROW()-1,展開用!$E$2:$E$601,0)),"")</f>
        <v/>
      </c>
      <c r="P204" s="11"/>
      <c r="Q204" s="11"/>
      <c r="R204" s="11"/>
      <c r="S204" s="11"/>
      <c r="T204" s="11"/>
      <c r="U204" s="11" t="str">
        <f>IF(AND(ROW()-1&lt;=教室申込!$K$5,教室申込!$K$7=0,COUNTA(教室申込!$C$4)=1),INDEX(展開用!$F$2:$F$601,MATCH(ROW()-1,展開用!$E$2:$E$601,0)),"")</f>
        <v/>
      </c>
      <c r="V204" s="11"/>
      <c r="W204" s="11"/>
      <c r="X204" s="11"/>
      <c r="Y204" s="11"/>
      <c r="Z204" s="11"/>
      <c r="AA204" s="11" t="str">
        <f>IF($AW204="","",IF(INDEX(教室申込!$J$1:$J$212,$AW204)="","",INDEX(教室申込!$J$1:$J$212,$AW204)))</f>
        <v/>
      </c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" t="str">
        <f>IF(AND(ROW()-1&lt;=教室申込!$K$5,教室申込!$K$7=0,COUNTA(教室申込!$C$4)=1),INDEX(展開用!$B$2:$B$601,MATCH(ROW()-1,展開用!$E$2:$E$601,0)),"")</f>
        <v/>
      </c>
      <c r="AX204" s="1"/>
      <c r="AY204" s="1"/>
    </row>
    <row r="205" spans="1:51" ht="24" customHeight="1">
      <c r="A205" s="11"/>
      <c r="B205" s="11"/>
      <c r="C205" s="11"/>
      <c r="D205" s="11"/>
      <c r="E205" s="11"/>
      <c r="F205" s="11"/>
      <c r="G205" s="11"/>
      <c r="H205" s="11" t="str">
        <f>IF(AND(ROW()-1&lt;=教室申込!$K$5,教室申込!$K$7=0,COUNTA(教室申込!$C$4)=1),INDEX(展開用!$C$2:$C$601,MATCH(ROW()-1,展開用!$E$2:$E$601,0)),"")</f>
        <v/>
      </c>
      <c r="I205" s="11" t="str">
        <f>IF(AND(ROW()-1&lt;=教室申込!$K$5,教室申込!$K$7=0,COUNTA(教室申込!$C$4)=1),INDEX(展開用!$D$2:$D$601,MATCH(ROW()-1,展開用!$E$2:$E$601,0)),"")</f>
        <v/>
      </c>
      <c r="J205" s="11"/>
      <c r="K205" s="11"/>
      <c r="L205" s="11" t="str">
        <f>IF(AND(ROW()-1&lt;=教室申込!$K$5,教室申込!$K$7=0,COUNTA(教室申込!$C$4)=1),INDEX(教室申込!$B$1:$B$212,$AW205),"")</f>
        <v/>
      </c>
      <c r="M205" s="11" t="str">
        <f>IF(AND(ROW()-1&lt;=教室申込!$K$5,教室申込!$K$7=0,COUNTA(教室申込!$C$4)=1),INDEX(教室申込!$C$1:$C$212,$AW205),"")</f>
        <v/>
      </c>
      <c r="N205" s="11"/>
      <c r="O205" s="12" t="str">
        <f>IF(AND(ROW()-1&lt;=教室申込!$K$5,教室申込!$K$7=0,COUNTA(教室申込!$C$4)=1),INDEX(展開用!$G$2:$G$601,MATCH(ROW()-1,展開用!$E$2:$E$601,0)),"")</f>
        <v/>
      </c>
      <c r="P205" s="11"/>
      <c r="Q205" s="11"/>
      <c r="R205" s="11"/>
      <c r="S205" s="11"/>
      <c r="T205" s="11"/>
      <c r="U205" s="11" t="str">
        <f>IF(AND(ROW()-1&lt;=教室申込!$K$5,教室申込!$K$7=0,COUNTA(教室申込!$C$4)=1),INDEX(展開用!$F$2:$F$601,MATCH(ROW()-1,展開用!$E$2:$E$601,0)),"")</f>
        <v/>
      </c>
      <c r="V205" s="11"/>
      <c r="W205" s="11"/>
      <c r="X205" s="11"/>
      <c r="Y205" s="11"/>
      <c r="Z205" s="11"/>
      <c r="AA205" s="11" t="str">
        <f>IF($AW205="","",IF(INDEX(教室申込!$J$1:$J$212,$AW205)="","",INDEX(教室申込!$J$1:$J$212,$AW205)))</f>
        <v/>
      </c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" t="str">
        <f>IF(AND(ROW()-1&lt;=教室申込!$K$5,教室申込!$K$7=0,COUNTA(教室申込!$C$4)=1),INDEX(展開用!$B$2:$B$601,MATCH(ROW()-1,展開用!$E$2:$E$601,0)),"")</f>
        <v/>
      </c>
      <c r="AX205" s="1"/>
      <c r="AY205" s="1"/>
    </row>
    <row r="206" spans="1:51" ht="24" customHeight="1">
      <c r="A206" s="11"/>
      <c r="B206" s="11"/>
      <c r="C206" s="11"/>
      <c r="D206" s="11"/>
      <c r="E206" s="11"/>
      <c r="F206" s="11"/>
      <c r="G206" s="11"/>
      <c r="H206" s="11" t="str">
        <f>IF(AND(ROW()-1&lt;=教室申込!$K$5,教室申込!$K$7=0,COUNTA(教室申込!$C$4)=1),INDEX(展開用!$C$2:$C$601,MATCH(ROW()-1,展開用!$E$2:$E$601,0)),"")</f>
        <v/>
      </c>
      <c r="I206" s="11" t="str">
        <f>IF(AND(ROW()-1&lt;=教室申込!$K$5,教室申込!$K$7=0,COUNTA(教室申込!$C$4)=1),INDEX(展開用!$D$2:$D$601,MATCH(ROW()-1,展開用!$E$2:$E$601,0)),"")</f>
        <v/>
      </c>
      <c r="J206" s="11"/>
      <c r="K206" s="11"/>
      <c r="L206" s="11" t="str">
        <f>IF(AND(ROW()-1&lt;=教室申込!$K$5,教室申込!$K$7=0,COUNTA(教室申込!$C$4)=1),INDEX(教室申込!$B$1:$B$212,$AW206),"")</f>
        <v/>
      </c>
      <c r="M206" s="11" t="str">
        <f>IF(AND(ROW()-1&lt;=教室申込!$K$5,教室申込!$K$7=0,COUNTA(教室申込!$C$4)=1),INDEX(教室申込!$C$1:$C$212,$AW206),"")</f>
        <v/>
      </c>
      <c r="N206" s="11"/>
      <c r="O206" s="12" t="str">
        <f>IF(AND(ROW()-1&lt;=教室申込!$K$5,教室申込!$K$7=0,COUNTA(教室申込!$C$4)=1),INDEX(展開用!$G$2:$G$601,MATCH(ROW()-1,展開用!$E$2:$E$601,0)),"")</f>
        <v/>
      </c>
      <c r="P206" s="11"/>
      <c r="Q206" s="11"/>
      <c r="R206" s="11"/>
      <c r="S206" s="11"/>
      <c r="T206" s="11"/>
      <c r="U206" s="11" t="str">
        <f>IF(AND(ROW()-1&lt;=教室申込!$K$5,教室申込!$K$7=0,COUNTA(教室申込!$C$4)=1),INDEX(展開用!$F$2:$F$601,MATCH(ROW()-1,展開用!$E$2:$E$601,0)),"")</f>
        <v/>
      </c>
      <c r="V206" s="11"/>
      <c r="W206" s="11"/>
      <c r="X206" s="11"/>
      <c r="Y206" s="11"/>
      <c r="Z206" s="11"/>
      <c r="AA206" s="11" t="str">
        <f>IF($AW206="","",IF(INDEX(教室申込!$J$1:$J$212,$AW206)="","",INDEX(教室申込!$J$1:$J$212,$AW206)))</f>
        <v/>
      </c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" t="str">
        <f>IF(AND(ROW()-1&lt;=教室申込!$K$5,教室申込!$K$7=0,COUNTA(教室申込!$C$4)=1),INDEX(展開用!$B$2:$B$601,MATCH(ROW()-1,展開用!$E$2:$E$601,0)),"")</f>
        <v/>
      </c>
      <c r="AX206" s="1"/>
      <c r="AY206" s="1"/>
    </row>
    <row r="207" spans="1:51" ht="24" customHeight="1">
      <c r="A207" s="11"/>
      <c r="B207" s="11"/>
      <c r="C207" s="11"/>
      <c r="D207" s="11"/>
      <c r="E207" s="11"/>
      <c r="F207" s="11"/>
      <c r="G207" s="11"/>
      <c r="H207" s="11" t="str">
        <f>IF(AND(ROW()-1&lt;=教室申込!$K$5,教室申込!$K$7=0,COUNTA(教室申込!$C$4)=1),INDEX(展開用!$C$2:$C$601,MATCH(ROW()-1,展開用!$E$2:$E$601,0)),"")</f>
        <v/>
      </c>
      <c r="I207" s="11" t="str">
        <f>IF(AND(ROW()-1&lt;=教室申込!$K$5,教室申込!$K$7=0,COUNTA(教室申込!$C$4)=1),INDEX(展開用!$D$2:$D$601,MATCH(ROW()-1,展開用!$E$2:$E$601,0)),"")</f>
        <v/>
      </c>
      <c r="J207" s="11"/>
      <c r="K207" s="11"/>
      <c r="L207" s="11" t="str">
        <f>IF(AND(ROW()-1&lt;=教室申込!$K$5,教室申込!$K$7=0,COUNTA(教室申込!$C$4)=1),INDEX(教室申込!$B$1:$B$212,$AW207),"")</f>
        <v/>
      </c>
      <c r="M207" s="11" t="str">
        <f>IF(AND(ROW()-1&lt;=教室申込!$K$5,教室申込!$K$7=0,COUNTA(教室申込!$C$4)=1),INDEX(教室申込!$C$1:$C$212,$AW207),"")</f>
        <v/>
      </c>
      <c r="N207" s="11"/>
      <c r="O207" s="12" t="str">
        <f>IF(AND(ROW()-1&lt;=教室申込!$K$5,教室申込!$K$7=0,COUNTA(教室申込!$C$4)=1),INDEX(展開用!$G$2:$G$601,MATCH(ROW()-1,展開用!$E$2:$E$601,0)),"")</f>
        <v/>
      </c>
      <c r="P207" s="11"/>
      <c r="Q207" s="11"/>
      <c r="R207" s="11"/>
      <c r="S207" s="11"/>
      <c r="T207" s="11"/>
      <c r="U207" s="11" t="str">
        <f>IF(AND(ROW()-1&lt;=教室申込!$K$5,教室申込!$K$7=0,COUNTA(教室申込!$C$4)=1),INDEX(展開用!$F$2:$F$601,MATCH(ROW()-1,展開用!$E$2:$E$601,0)),"")</f>
        <v/>
      </c>
      <c r="V207" s="11"/>
      <c r="W207" s="11"/>
      <c r="X207" s="11"/>
      <c r="Y207" s="11"/>
      <c r="Z207" s="11"/>
      <c r="AA207" s="11" t="str">
        <f>IF($AW207="","",IF(INDEX(教室申込!$J$1:$J$212,$AW207)="","",INDEX(教室申込!$J$1:$J$212,$AW207)))</f>
        <v/>
      </c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" t="str">
        <f>IF(AND(ROW()-1&lt;=教室申込!$K$5,教室申込!$K$7=0,COUNTA(教室申込!$C$4)=1),INDEX(展開用!$B$2:$B$601,MATCH(ROW()-1,展開用!$E$2:$E$601,0)),"")</f>
        <v/>
      </c>
      <c r="AX207" s="1"/>
      <c r="AY207" s="1"/>
    </row>
    <row r="208" spans="1:51" ht="24" customHeight="1">
      <c r="A208" s="11"/>
      <c r="B208" s="11"/>
      <c r="C208" s="11"/>
      <c r="D208" s="11"/>
      <c r="E208" s="11"/>
      <c r="F208" s="11"/>
      <c r="G208" s="11"/>
      <c r="H208" s="11" t="str">
        <f>IF(AND(ROW()-1&lt;=教室申込!$K$5,教室申込!$K$7=0,COUNTA(教室申込!$C$4)=1),INDEX(展開用!$C$2:$C$601,MATCH(ROW()-1,展開用!$E$2:$E$601,0)),"")</f>
        <v/>
      </c>
      <c r="I208" s="11" t="str">
        <f>IF(AND(ROW()-1&lt;=教室申込!$K$5,教室申込!$K$7=0,COUNTA(教室申込!$C$4)=1),INDEX(展開用!$D$2:$D$601,MATCH(ROW()-1,展開用!$E$2:$E$601,0)),"")</f>
        <v/>
      </c>
      <c r="J208" s="11"/>
      <c r="K208" s="11"/>
      <c r="L208" s="11" t="str">
        <f>IF(AND(ROW()-1&lt;=教室申込!$K$5,教室申込!$K$7=0,COUNTA(教室申込!$C$4)=1),INDEX(教室申込!$B$1:$B$212,$AW208),"")</f>
        <v/>
      </c>
      <c r="M208" s="11" t="str">
        <f>IF(AND(ROW()-1&lt;=教室申込!$K$5,教室申込!$K$7=0,COUNTA(教室申込!$C$4)=1),INDEX(教室申込!$C$1:$C$212,$AW208),"")</f>
        <v/>
      </c>
      <c r="N208" s="11"/>
      <c r="O208" s="12" t="str">
        <f>IF(AND(ROW()-1&lt;=教室申込!$K$5,教室申込!$K$7=0,COUNTA(教室申込!$C$4)=1),INDEX(展開用!$G$2:$G$601,MATCH(ROW()-1,展開用!$E$2:$E$601,0)),"")</f>
        <v/>
      </c>
      <c r="P208" s="11"/>
      <c r="Q208" s="11"/>
      <c r="R208" s="11"/>
      <c r="S208" s="11"/>
      <c r="T208" s="11"/>
      <c r="U208" s="11" t="str">
        <f>IF(AND(ROW()-1&lt;=教室申込!$K$5,教室申込!$K$7=0,COUNTA(教室申込!$C$4)=1),INDEX(展開用!$F$2:$F$601,MATCH(ROW()-1,展開用!$E$2:$E$601,0)),"")</f>
        <v/>
      </c>
      <c r="V208" s="11"/>
      <c r="W208" s="11"/>
      <c r="X208" s="11"/>
      <c r="Y208" s="11"/>
      <c r="Z208" s="11"/>
      <c r="AA208" s="11" t="str">
        <f>IF($AW208="","",IF(INDEX(教室申込!$J$1:$J$212,$AW208)="","",INDEX(教室申込!$J$1:$J$212,$AW208)))</f>
        <v/>
      </c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" t="str">
        <f>IF(AND(ROW()-1&lt;=教室申込!$K$5,教室申込!$K$7=0,COUNTA(教室申込!$C$4)=1),INDEX(展開用!$B$2:$B$601,MATCH(ROW()-1,展開用!$E$2:$E$601,0)),"")</f>
        <v/>
      </c>
      <c r="AX208" s="1"/>
      <c r="AY208" s="1"/>
    </row>
    <row r="209" spans="1:51" ht="24" customHeight="1">
      <c r="A209" s="11"/>
      <c r="B209" s="11"/>
      <c r="C209" s="11"/>
      <c r="D209" s="11"/>
      <c r="E209" s="11"/>
      <c r="F209" s="11"/>
      <c r="G209" s="11"/>
      <c r="H209" s="11" t="str">
        <f>IF(AND(ROW()-1&lt;=教室申込!$K$5,教室申込!$K$7=0,COUNTA(教室申込!$C$4)=1),INDEX(展開用!$C$2:$C$601,MATCH(ROW()-1,展開用!$E$2:$E$601,0)),"")</f>
        <v/>
      </c>
      <c r="I209" s="11" t="str">
        <f>IF(AND(ROW()-1&lt;=教室申込!$K$5,教室申込!$K$7=0,COUNTA(教室申込!$C$4)=1),INDEX(展開用!$D$2:$D$601,MATCH(ROW()-1,展開用!$E$2:$E$601,0)),"")</f>
        <v/>
      </c>
      <c r="J209" s="11"/>
      <c r="K209" s="11"/>
      <c r="L209" s="11" t="str">
        <f>IF(AND(ROW()-1&lt;=教室申込!$K$5,教室申込!$K$7=0,COUNTA(教室申込!$C$4)=1),INDEX(教室申込!$B$1:$B$212,$AW209),"")</f>
        <v/>
      </c>
      <c r="M209" s="11" t="str">
        <f>IF(AND(ROW()-1&lt;=教室申込!$K$5,教室申込!$K$7=0,COUNTA(教室申込!$C$4)=1),INDEX(教室申込!$C$1:$C$212,$AW209),"")</f>
        <v/>
      </c>
      <c r="N209" s="11"/>
      <c r="O209" s="12" t="str">
        <f>IF(AND(ROW()-1&lt;=教室申込!$K$5,教室申込!$K$7=0,COUNTA(教室申込!$C$4)=1),INDEX(展開用!$G$2:$G$601,MATCH(ROW()-1,展開用!$E$2:$E$601,0)),"")</f>
        <v/>
      </c>
      <c r="P209" s="11"/>
      <c r="Q209" s="11"/>
      <c r="R209" s="11"/>
      <c r="S209" s="11"/>
      <c r="T209" s="11"/>
      <c r="U209" s="11" t="str">
        <f>IF(AND(ROW()-1&lt;=教室申込!$K$5,教室申込!$K$7=0,COUNTA(教室申込!$C$4)=1),INDEX(展開用!$F$2:$F$601,MATCH(ROW()-1,展開用!$E$2:$E$601,0)),"")</f>
        <v/>
      </c>
      <c r="V209" s="11"/>
      <c r="W209" s="11"/>
      <c r="X209" s="11"/>
      <c r="Y209" s="11"/>
      <c r="Z209" s="11"/>
      <c r="AA209" s="11" t="str">
        <f>IF($AW209="","",IF(INDEX(教室申込!$J$1:$J$212,$AW209)="","",INDEX(教室申込!$J$1:$J$212,$AW209)))</f>
        <v/>
      </c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" t="str">
        <f>IF(AND(ROW()-1&lt;=教室申込!$K$5,教室申込!$K$7=0,COUNTA(教室申込!$C$4)=1),INDEX(展開用!$B$2:$B$601,MATCH(ROW()-1,展開用!$E$2:$E$601,0)),"")</f>
        <v/>
      </c>
      <c r="AX209" s="1"/>
      <c r="AY209" s="1"/>
    </row>
    <row r="210" spans="1:51" ht="24" customHeight="1">
      <c r="A210" s="11"/>
      <c r="B210" s="11"/>
      <c r="C210" s="11"/>
      <c r="D210" s="11"/>
      <c r="E210" s="11"/>
      <c r="F210" s="11"/>
      <c r="G210" s="11"/>
      <c r="H210" s="11" t="str">
        <f>IF(AND(ROW()-1&lt;=教室申込!$K$5,教室申込!$K$7=0,COUNTA(教室申込!$C$4)=1),INDEX(展開用!$C$2:$C$601,MATCH(ROW()-1,展開用!$E$2:$E$601,0)),"")</f>
        <v/>
      </c>
      <c r="I210" s="11" t="str">
        <f>IF(AND(ROW()-1&lt;=教室申込!$K$5,教室申込!$K$7=0,COUNTA(教室申込!$C$4)=1),INDEX(展開用!$D$2:$D$601,MATCH(ROW()-1,展開用!$E$2:$E$601,0)),"")</f>
        <v/>
      </c>
      <c r="J210" s="11"/>
      <c r="K210" s="11"/>
      <c r="L210" s="11" t="str">
        <f>IF(AND(ROW()-1&lt;=教室申込!$K$5,教室申込!$K$7=0,COUNTA(教室申込!$C$4)=1),INDEX(教室申込!$B$1:$B$212,$AW210),"")</f>
        <v/>
      </c>
      <c r="M210" s="11" t="str">
        <f>IF(AND(ROW()-1&lt;=教室申込!$K$5,教室申込!$K$7=0,COUNTA(教室申込!$C$4)=1),INDEX(教室申込!$C$1:$C$212,$AW210),"")</f>
        <v/>
      </c>
      <c r="N210" s="11"/>
      <c r="O210" s="12" t="str">
        <f>IF(AND(ROW()-1&lt;=教室申込!$K$5,教室申込!$K$7=0,COUNTA(教室申込!$C$4)=1),INDEX(展開用!$G$2:$G$601,MATCH(ROW()-1,展開用!$E$2:$E$601,0)),"")</f>
        <v/>
      </c>
      <c r="P210" s="11"/>
      <c r="Q210" s="11"/>
      <c r="R210" s="11"/>
      <c r="S210" s="11"/>
      <c r="T210" s="11"/>
      <c r="U210" s="11" t="str">
        <f>IF(AND(ROW()-1&lt;=教室申込!$K$5,教室申込!$K$7=0,COUNTA(教室申込!$C$4)=1),INDEX(展開用!$F$2:$F$601,MATCH(ROW()-1,展開用!$E$2:$E$601,0)),"")</f>
        <v/>
      </c>
      <c r="V210" s="11"/>
      <c r="W210" s="11"/>
      <c r="X210" s="11"/>
      <c r="Y210" s="11"/>
      <c r="Z210" s="11"/>
      <c r="AA210" s="11" t="str">
        <f>IF($AW210="","",IF(INDEX(教室申込!$J$1:$J$212,$AW210)="","",INDEX(教室申込!$J$1:$J$212,$AW210)))</f>
        <v/>
      </c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" t="str">
        <f>IF(AND(ROW()-1&lt;=教室申込!$K$5,教室申込!$K$7=0,COUNTA(教室申込!$C$4)=1),INDEX(展開用!$B$2:$B$601,MATCH(ROW()-1,展開用!$E$2:$E$601,0)),"")</f>
        <v/>
      </c>
      <c r="AX210" s="1"/>
      <c r="AY210" s="1"/>
    </row>
    <row r="211" spans="1:51" ht="24" customHeight="1">
      <c r="A211" s="11"/>
      <c r="B211" s="11"/>
      <c r="C211" s="11"/>
      <c r="D211" s="11"/>
      <c r="E211" s="11"/>
      <c r="F211" s="11"/>
      <c r="G211" s="11"/>
      <c r="H211" s="11" t="str">
        <f>IF(AND(ROW()-1&lt;=教室申込!$K$5,教室申込!$K$7=0,COUNTA(教室申込!$C$4)=1),INDEX(展開用!$C$2:$C$601,MATCH(ROW()-1,展開用!$E$2:$E$601,0)),"")</f>
        <v/>
      </c>
      <c r="I211" s="11" t="str">
        <f>IF(AND(ROW()-1&lt;=教室申込!$K$5,教室申込!$K$7=0,COUNTA(教室申込!$C$4)=1),INDEX(展開用!$D$2:$D$601,MATCH(ROW()-1,展開用!$E$2:$E$601,0)),"")</f>
        <v/>
      </c>
      <c r="J211" s="11"/>
      <c r="K211" s="11"/>
      <c r="L211" s="11" t="str">
        <f>IF(AND(ROW()-1&lt;=教室申込!$K$5,教室申込!$K$7=0,COUNTA(教室申込!$C$4)=1),INDEX(教室申込!$B$1:$B$212,$AW211),"")</f>
        <v/>
      </c>
      <c r="M211" s="11" t="str">
        <f>IF(AND(ROW()-1&lt;=教室申込!$K$5,教室申込!$K$7=0,COUNTA(教室申込!$C$4)=1),INDEX(教室申込!$C$1:$C$212,$AW211),"")</f>
        <v/>
      </c>
      <c r="N211" s="11"/>
      <c r="O211" s="12" t="str">
        <f>IF(AND(ROW()-1&lt;=教室申込!$K$5,教室申込!$K$7=0,COUNTA(教室申込!$C$4)=1),INDEX(展開用!$G$2:$G$601,MATCH(ROW()-1,展開用!$E$2:$E$601,0)),"")</f>
        <v/>
      </c>
      <c r="P211" s="11"/>
      <c r="Q211" s="11"/>
      <c r="R211" s="11"/>
      <c r="S211" s="11"/>
      <c r="T211" s="11"/>
      <c r="U211" s="11" t="str">
        <f>IF(AND(ROW()-1&lt;=教室申込!$K$5,教室申込!$K$7=0,COUNTA(教室申込!$C$4)=1),INDEX(展開用!$F$2:$F$601,MATCH(ROW()-1,展開用!$E$2:$E$601,0)),"")</f>
        <v/>
      </c>
      <c r="V211" s="11"/>
      <c r="W211" s="11"/>
      <c r="X211" s="11"/>
      <c r="Y211" s="11"/>
      <c r="Z211" s="11"/>
      <c r="AA211" s="11" t="str">
        <f>IF($AW211="","",IF(INDEX(教室申込!$J$1:$J$212,$AW211)="","",INDEX(教室申込!$J$1:$J$212,$AW211)))</f>
        <v/>
      </c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" t="str">
        <f>IF(AND(ROW()-1&lt;=教室申込!$K$5,教室申込!$K$7=0,COUNTA(教室申込!$C$4)=1),INDEX(展開用!$B$2:$B$601,MATCH(ROW()-1,展開用!$E$2:$E$601,0)),"")</f>
        <v/>
      </c>
      <c r="AX211" s="1"/>
      <c r="AY211" s="1"/>
    </row>
    <row r="212" spans="1:51" ht="24" customHeight="1">
      <c r="A212" s="11"/>
      <c r="B212" s="11"/>
      <c r="C212" s="11"/>
      <c r="D212" s="11"/>
      <c r="E212" s="11"/>
      <c r="F212" s="11"/>
      <c r="G212" s="11"/>
      <c r="H212" s="11" t="str">
        <f>IF(AND(ROW()-1&lt;=教室申込!$K$5,教室申込!$K$7=0,COUNTA(教室申込!$C$4)=1),INDEX(展開用!$C$2:$C$601,MATCH(ROW()-1,展開用!$E$2:$E$601,0)),"")</f>
        <v/>
      </c>
      <c r="I212" s="11" t="str">
        <f>IF(AND(ROW()-1&lt;=教室申込!$K$5,教室申込!$K$7=0,COUNTA(教室申込!$C$4)=1),INDEX(展開用!$D$2:$D$601,MATCH(ROW()-1,展開用!$E$2:$E$601,0)),"")</f>
        <v/>
      </c>
      <c r="J212" s="11"/>
      <c r="K212" s="11"/>
      <c r="L212" s="11" t="str">
        <f>IF(AND(ROW()-1&lt;=教室申込!$K$5,教室申込!$K$7=0,COUNTA(教室申込!$C$4)=1),INDEX(教室申込!$B$1:$B$212,$AW212),"")</f>
        <v/>
      </c>
      <c r="M212" s="11" t="str">
        <f>IF(AND(ROW()-1&lt;=教室申込!$K$5,教室申込!$K$7=0,COUNTA(教室申込!$C$4)=1),INDEX(教室申込!$C$1:$C$212,$AW212),"")</f>
        <v/>
      </c>
      <c r="N212" s="11"/>
      <c r="O212" s="12" t="str">
        <f>IF(AND(ROW()-1&lt;=教室申込!$K$5,教室申込!$K$7=0,COUNTA(教室申込!$C$4)=1),INDEX(展開用!$G$2:$G$601,MATCH(ROW()-1,展開用!$E$2:$E$601,0)),"")</f>
        <v/>
      </c>
      <c r="P212" s="11"/>
      <c r="Q212" s="11"/>
      <c r="R212" s="11"/>
      <c r="S212" s="11"/>
      <c r="T212" s="11"/>
      <c r="U212" s="11" t="str">
        <f>IF(AND(ROW()-1&lt;=教室申込!$K$5,教室申込!$K$7=0,COUNTA(教室申込!$C$4)=1),INDEX(展開用!$F$2:$F$601,MATCH(ROW()-1,展開用!$E$2:$E$601,0)),"")</f>
        <v/>
      </c>
      <c r="V212" s="11"/>
      <c r="W212" s="11"/>
      <c r="X212" s="11"/>
      <c r="Y212" s="11"/>
      <c r="Z212" s="11"/>
      <c r="AA212" s="11" t="str">
        <f>IF($AW212="","",IF(INDEX(教室申込!$J$1:$J$212,$AW212)="","",INDEX(教室申込!$J$1:$J$212,$AW212)))</f>
        <v/>
      </c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" t="str">
        <f>IF(AND(ROW()-1&lt;=教室申込!$K$5,教室申込!$K$7=0,COUNTA(教室申込!$C$4)=1),INDEX(展開用!$B$2:$B$601,MATCH(ROW()-1,展開用!$E$2:$E$601,0)),"")</f>
        <v/>
      </c>
      <c r="AX212" s="1"/>
      <c r="AY212" s="1"/>
    </row>
    <row r="213" spans="1:51" ht="24" customHeight="1">
      <c r="A213" s="11"/>
      <c r="B213" s="11"/>
      <c r="C213" s="11"/>
      <c r="D213" s="11"/>
      <c r="E213" s="11"/>
      <c r="F213" s="11"/>
      <c r="G213" s="11"/>
      <c r="H213" s="11" t="str">
        <f>IF(AND(ROW()-1&lt;=教室申込!$K$5,教室申込!$K$7=0,COUNTA(教室申込!$C$4)=1),INDEX(展開用!$C$2:$C$601,MATCH(ROW()-1,展開用!$E$2:$E$601,0)),"")</f>
        <v/>
      </c>
      <c r="I213" s="11" t="str">
        <f>IF(AND(ROW()-1&lt;=教室申込!$K$5,教室申込!$K$7=0,COUNTA(教室申込!$C$4)=1),INDEX(展開用!$D$2:$D$601,MATCH(ROW()-1,展開用!$E$2:$E$601,0)),"")</f>
        <v/>
      </c>
      <c r="J213" s="11"/>
      <c r="K213" s="11"/>
      <c r="L213" s="11" t="str">
        <f>IF(AND(ROW()-1&lt;=教室申込!$K$5,教室申込!$K$7=0,COUNTA(教室申込!$C$4)=1),INDEX(教室申込!$B$1:$B$212,$AW213),"")</f>
        <v/>
      </c>
      <c r="M213" s="11" t="str">
        <f>IF(AND(ROW()-1&lt;=教室申込!$K$5,教室申込!$K$7=0,COUNTA(教室申込!$C$4)=1),INDEX(教室申込!$C$1:$C$212,$AW213),"")</f>
        <v/>
      </c>
      <c r="N213" s="11"/>
      <c r="O213" s="12" t="str">
        <f>IF(AND(ROW()-1&lt;=教室申込!$K$5,教室申込!$K$7=0,COUNTA(教室申込!$C$4)=1),INDEX(展開用!$G$2:$G$601,MATCH(ROW()-1,展開用!$E$2:$E$601,0)),"")</f>
        <v/>
      </c>
      <c r="P213" s="11"/>
      <c r="Q213" s="11"/>
      <c r="R213" s="11"/>
      <c r="S213" s="11"/>
      <c r="T213" s="11"/>
      <c r="U213" s="11" t="str">
        <f>IF(AND(ROW()-1&lt;=教室申込!$K$5,教室申込!$K$7=0,COUNTA(教室申込!$C$4)=1),INDEX(展開用!$F$2:$F$601,MATCH(ROW()-1,展開用!$E$2:$E$601,0)),"")</f>
        <v/>
      </c>
      <c r="V213" s="11"/>
      <c r="W213" s="11"/>
      <c r="X213" s="11"/>
      <c r="Y213" s="11"/>
      <c r="Z213" s="11"/>
      <c r="AA213" s="11" t="str">
        <f>IF($AW213="","",IF(INDEX(教室申込!$J$1:$J$212,$AW213)="","",INDEX(教室申込!$J$1:$J$212,$AW213)))</f>
        <v/>
      </c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" t="str">
        <f>IF(AND(ROW()-1&lt;=教室申込!$K$5,教室申込!$K$7=0,COUNTA(教室申込!$C$4)=1),INDEX(展開用!$B$2:$B$601,MATCH(ROW()-1,展開用!$E$2:$E$601,0)),"")</f>
        <v/>
      </c>
      <c r="AX213" s="1"/>
      <c r="AY213" s="1"/>
    </row>
    <row r="214" spans="1:51" ht="24" customHeight="1">
      <c r="A214" s="11"/>
      <c r="B214" s="11"/>
      <c r="C214" s="11"/>
      <c r="D214" s="11"/>
      <c r="E214" s="11"/>
      <c r="F214" s="11"/>
      <c r="G214" s="11"/>
      <c r="H214" s="11" t="str">
        <f>IF(AND(ROW()-1&lt;=教室申込!$K$5,教室申込!$K$7=0,COUNTA(教室申込!$C$4)=1),INDEX(展開用!$C$2:$C$601,MATCH(ROW()-1,展開用!$E$2:$E$601,0)),"")</f>
        <v/>
      </c>
      <c r="I214" s="11" t="str">
        <f>IF(AND(ROW()-1&lt;=教室申込!$K$5,教室申込!$K$7=0,COUNTA(教室申込!$C$4)=1),INDEX(展開用!$D$2:$D$601,MATCH(ROW()-1,展開用!$E$2:$E$601,0)),"")</f>
        <v/>
      </c>
      <c r="J214" s="11"/>
      <c r="K214" s="11"/>
      <c r="L214" s="11" t="str">
        <f>IF(AND(ROW()-1&lt;=教室申込!$K$5,教室申込!$K$7=0,COUNTA(教室申込!$C$4)=1),INDEX(教室申込!$B$1:$B$212,$AW214),"")</f>
        <v/>
      </c>
      <c r="M214" s="11" t="str">
        <f>IF(AND(ROW()-1&lt;=教室申込!$K$5,教室申込!$K$7=0,COUNTA(教室申込!$C$4)=1),INDEX(教室申込!$C$1:$C$212,$AW214),"")</f>
        <v/>
      </c>
      <c r="N214" s="11"/>
      <c r="O214" s="12" t="str">
        <f>IF(AND(ROW()-1&lt;=教室申込!$K$5,教室申込!$K$7=0,COUNTA(教室申込!$C$4)=1),INDEX(展開用!$G$2:$G$601,MATCH(ROW()-1,展開用!$E$2:$E$601,0)),"")</f>
        <v/>
      </c>
      <c r="P214" s="11"/>
      <c r="Q214" s="11"/>
      <c r="R214" s="11"/>
      <c r="S214" s="11"/>
      <c r="T214" s="11"/>
      <c r="U214" s="11" t="str">
        <f>IF(AND(ROW()-1&lt;=教室申込!$K$5,教室申込!$K$7=0,COUNTA(教室申込!$C$4)=1),INDEX(展開用!$F$2:$F$601,MATCH(ROW()-1,展開用!$E$2:$E$601,0)),"")</f>
        <v/>
      </c>
      <c r="V214" s="11"/>
      <c r="W214" s="11"/>
      <c r="X214" s="11"/>
      <c r="Y214" s="11"/>
      <c r="Z214" s="11"/>
      <c r="AA214" s="11" t="str">
        <f>IF($AW214="","",IF(INDEX(教室申込!$J$1:$J$212,$AW214)="","",INDEX(教室申込!$J$1:$J$212,$AW214)))</f>
        <v/>
      </c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" t="str">
        <f>IF(AND(ROW()-1&lt;=教室申込!$K$5,教室申込!$K$7=0,COUNTA(教室申込!$C$4)=1),INDEX(展開用!$B$2:$B$601,MATCH(ROW()-1,展開用!$E$2:$E$601,0)),"")</f>
        <v/>
      </c>
      <c r="AX214" s="1"/>
      <c r="AY214" s="1"/>
    </row>
    <row r="215" spans="1:51" ht="24" customHeight="1">
      <c r="A215" s="11"/>
      <c r="B215" s="11"/>
      <c r="C215" s="11"/>
      <c r="D215" s="11"/>
      <c r="E215" s="11"/>
      <c r="F215" s="11"/>
      <c r="G215" s="11"/>
      <c r="H215" s="11" t="str">
        <f>IF(AND(ROW()-1&lt;=教室申込!$K$5,教室申込!$K$7=0,COUNTA(教室申込!$C$4)=1),INDEX(展開用!$C$2:$C$601,MATCH(ROW()-1,展開用!$E$2:$E$601,0)),"")</f>
        <v/>
      </c>
      <c r="I215" s="11" t="str">
        <f>IF(AND(ROW()-1&lt;=教室申込!$K$5,教室申込!$K$7=0,COUNTA(教室申込!$C$4)=1),INDEX(展開用!$D$2:$D$601,MATCH(ROW()-1,展開用!$E$2:$E$601,0)),"")</f>
        <v/>
      </c>
      <c r="J215" s="11"/>
      <c r="K215" s="11"/>
      <c r="L215" s="11" t="str">
        <f>IF(AND(ROW()-1&lt;=教室申込!$K$5,教室申込!$K$7=0,COUNTA(教室申込!$C$4)=1),INDEX(教室申込!$B$1:$B$212,$AW215),"")</f>
        <v/>
      </c>
      <c r="M215" s="11" t="str">
        <f>IF(AND(ROW()-1&lt;=教室申込!$K$5,教室申込!$K$7=0,COUNTA(教室申込!$C$4)=1),INDEX(教室申込!$C$1:$C$212,$AW215),"")</f>
        <v/>
      </c>
      <c r="N215" s="11"/>
      <c r="O215" s="12" t="str">
        <f>IF(AND(ROW()-1&lt;=教室申込!$K$5,教室申込!$K$7=0,COUNTA(教室申込!$C$4)=1),INDEX(展開用!$G$2:$G$601,MATCH(ROW()-1,展開用!$E$2:$E$601,0)),"")</f>
        <v/>
      </c>
      <c r="P215" s="11"/>
      <c r="Q215" s="11"/>
      <c r="R215" s="11"/>
      <c r="S215" s="11"/>
      <c r="T215" s="11"/>
      <c r="U215" s="11" t="str">
        <f>IF(AND(ROW()-1&lt;=教室申込!$K$5,教室申込!$K$7=0,COUNTA(教室申込!$C$4)=1),INDEX(展開用!$F$2:$F$601,MATCH(ROW()-1,展開用!$E$2:$E$601,0)),"")</f>
        <v/>
      </c>
      <c r="V215" s="11"/>
      <c r="W215" s="11"/>
      <c r="X215" s="11"/>
      <c r="Y215" s="11"/>
      <c r="Z215" s="11"/>
      <c r="AA215" s="11" t="str">
        <f>IF($AW215="","",IF(INDEX(教室申込!$J$1:$J$212,$AW215)="","",INDEX(教室申込!$J$1:$J$212,$AW215)))</f>
        <v/>
      </c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" t="str">
        <f>IF(AND(ROW()-1&lt;=教室申込!$K$5,教室申込!$K$7=0,COUNTA(教室申込!$C$4)=1),INDEX(展開用!$B$2:$B$601,MATCH(ROW()-1,展開用!$E$2:$E$601,0)),"")</f>
        <v/>
      </c>
      <c r="AX215" s="1"/>
      <c r="AY215" s="1"/>
    </row>
    <row r="216" spans="1:51" ht="24" customHeight="1">
      <c r="A216" s="11"/>
      <c r="B216" s="11"/>
      <c r="C216" s="11"/>
      <c r="D216" s="11"/>
      <c r="E216" s="11"/>
      <c r="F216" s="11"/>
      <c r="G216" s="11"/>
      <c r="H216" s="11" t="str">
        <f>IF(AND(ROW()-1&lt;=教室申込!$K$5,教室申込!$K$7=0,COUNTA(教室申込!$C$4)=1),INDEX(展開用!$C$2:$C$601,MATCH(ROW()-1,展開用!$E$2:$E$601,0)),"")</f>
        <v/>
      </c>
      <c r="I216" s="11" t="str">
        <f>IF(AND(ROW()-1&lt;=教室申込!$K$5,教室申込!$K$7=0,COUNTA(教室申込!$C$4)=1),INDEX(展開用!$D$2:$D$601,MATCH(ROW()-1,展開用!$E$2:$E$601,0)),"")</f>
        <v/>
      </c>
      <c r="J216" s="11"/>
      <c r="K216" s="11"/>
      <c r="L216" s="11" t="str">
        <f>IF(AND(ROW()-1&lt;=教室申込!$K$5,教室申込!$K$7=0,COUNTA(教室申込!$C$4)=1),INDEX(教室申込!$B$1:$B$212,$AW216),"")</f>
        <v/>
      </c>
      <c r="M216" s="11" t="str">
        <f>IF(AND(ROW()-1&lt;=教室申込!$K$5,教室申込!$K$7=0,COUNTA(教室申込!$C$4)=1),INDEX(教室申込!$C$1:$C$212,$AW216),"")</f>
        <v/>
      </c>
      <c r="N216" s="11"/>
      <c r="O216" s="12" t="str">
        <f>IF(AND(ROW()-1&lt;=教室申込!$K$5,教室申込!$K$7=0,COUNTA(教室申込!$C$4)=1),INDEX(展開用!$G$2:$G$601,MATCH(ROW()-1,展開用!$E$2:$E$601,0)),"")</f>
        <v/>
      </c>
      <c r="P216" s="11"/>
      <c r="Q216" s="11"/>
      <c r="R216" s="11"/>
      <c r="S216" s="11"/>
      <c r="T216" s="11"/>
      <c r="U216" s="11" t="str">
        <f>IF(AND(ROW()-1&lt;=教室申込!$K$5,教室申込!$K$7=0,COUNTA(教室申込!$C$4)=1),INDEX(展開用!$F$2:$F$601,MATCH(ROW()-1,展開用!$E$2:$E$601,0)),"")</f>
        <v/>
      </c>
      <c r="V216" s="11"/>
      <c r="W216" s="11"/>
      <c r="X216" s="11"/>
      <c r="Y216" s="11"/>
      <c r="Z216" s="11"/>
      <c r="AA216" s="11" t="str">
        <f>IF($AW216="","",IF(INDEX(教室申込!$J$1:$J$212,$AW216)="","",INDEX(教室申込!$J$1:$J$212,$AW216)))</f>
        <v/>
      </c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" t="str">
        <f>IF(AND(ROW()-1&lt;=教室申込!$K$5,教室申込!$K$7=0,COUNTA(教室申込!$C$4)=1),INDEX(展開用!$B$2:$B$601,MATCH(ROW()-1,展開用!$E$2:$E$601,0)),"")</f>
        <v/>
      </c>
      <c r="AX216" s="1"/>
      <c r="AY216" s="1"/>
    </row>
    <row r="217" spans="1:51" ht="24" customHeight="1">
      <c r="A217" s="11"/>
      <c r="B217" s="11"/>
      <c r="C217" s="11"/>
      <c r="D217" s="11"/>
      <c r="E217" s="11"/>
      <c r="F217" s="11"/>
      <c r="G217" s="11"/>
      <c r="H217" s="11" t="str">
        <f>IF(AND(ROW()-1&lt;=教室申込!$K$5,教室申込!$K$7=0,COUNTA(教室申込!$C$4)=1),INDEX(展開用!$C$2:$C$601,MATCH(ROW()-1,展開用!$E$2:$E$601,0)),"")</f>
        <v/>
      </c>
      <c r="I217" s="11" t="str">
        <f>IF(AND(ROW()-1&lt;=教室申込!$K$5,教室申込!$K$7=0,COUNTA(教室申込!$C$4)=1),INDEX(展開用!$D$2:$D$601,MATCH(ROW()-1,展開用!$E$2:$E$601,0)),"")</f>
        <v/>
      </c>
      <c r="J217" s="11"/>
      <c r="K217" s="11"/>
      <c r="L217" s="11" t="str">
        <f>IF(AND(ROW()-1&lt;=教室申込!$K$5,教室申込!$K$7=0,COUNTA(教室申込!$C$4)=1),INDEX(教室申込!$B$1:$B$212,$AW217),"")</f>
        <v/>
      </c>
      <c r="M217" s="11" t="str">
        <f>IF(AND(ROW()-1&lt;=教室申込!$K$5,教室申込!$K$7=0,COUNTA(教室申込!$C$4)=1),INDEX(教室申込!$C$1:$C$212,$AW217),"")</f>
        <v/>
      </c>
      <c r="N217" s="11"/>
      <c r="O217" s="12" t="str">
        <f>IF(AND(ROW()-1&lt;=教室申込!$K$5,教室申込!$K$7=0,COUNTA(教室申込!$C$4)=1),INDEX(展開用!$G$2:$G$601,MATCH(ROW()-1,展開用!$E$2:$E$601,0)),"")</f>
        <v/>
      </c>
      <c r="P217" s="11"/>
      <c r="Q217" s="11"/>
      <c r="R217" s="11"/>
      <c r="S217" s="11"/>
      <c r="T217" s="11"/>
      <c r="U217" s="11" t="str">
        <f>IF(AND(ROW()-1&lt;=教室申込!$K$5,教室申込!$K$7=0,COUNTA(教室申込!$C$4)=1),INDEX(展開用!$F$2:$F$601,MATCH(ROW()-1,展開用!$E$2:$E$601,0)),"")</f>
        <v/>
      </c>
      <c r="V217" s="11"/>
      <c r="W217" s="11"/>
      <c r="X217" s="11"/>
      <c r="Y217" s="11"/>
      <c r="Z217" s="11"/>
      <c r="AA217" s="11" t="str">
        <f>IF($AW217="","",IF(INDEX(教室申込!$J$1:$J$212,$AW217)="","",INDEX(教室申込!$J$1:$J$212,$AW217)))</f>
        <v/>
      </c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" t="str">
        <f>IF(AND(ROW()-1&lt;=教室申込!$K$5,教室申込!$K$7=0,COUNTA(教室申込!$C$4)=1),INDEX(展開用!$B$2:$B$601,MATCH(ROW()-1,展開用!$E$2:$E$601,0)),"")</f>
        <v/>
      </c>
      <c r="AX217" s="1"/>
      <c r="AY217" s="1"/>
    </row>
    <row r="218" spans="1:51" ht="24" customHeight="1">
      <c r="A218" s="11"/>
      <c r="B218" s="11"/>
      <c r="C218" s="11"/>
      <c r="D218" s="11"/>
      <c r="E218" s="11"/>
      <c r="F218" s="11"/>
      <c r="G218" s="11"/>
      <c r="H218" s="11" t="str">
        <f>IF(AND(ROW()-1&lt;=教室申込!$K$5,教室申込!$K$7=0,COUNTA(教室申込!$C$4)=1),INDEX(展開用!$C$2:$C$601,MATCH(ROW()-1,展開用!$E$2:$E$601,0)),"")</f>
        <v/>
      </c>
      <c r="I218" s="11" t="str">
        <f>IF(AND(ROW()-1&lt;=教室申込!$K$5,教室申込!$K$7=0,COUNTA(教室申込!$C$4)=1),INDEX(展開用!$D$2:$D$601,MATCH(ROW()-1,展開用!$E$2:$E$601,0)),"")</f>
        <v/>
      </c>
      <c r="J218" s="11"/>
      <c r="K218" s="11"/>
      <c r="L218" s="11" t="str">
        <f>IF(AND(ROW()-1&lt;=教室申込!$K$5,教室申込!$K$7=0,COUNTA(教室申込!$C$4)=1),INDEX(教室申込!$B$1:$B$212,$AW218),"")</f>
        <v/>
      </c>
      <c r="M218" s="11" t="str">
        <f>IF(AND(ROW()-1&lt;=教室申込!$K$5,教室申込!$K$7=0,COUNTA(教室申込!$C$4)=1),INDEX(教室申込!$C$1:$C$212,$AW218),"")</f>
        <v/>
      </c>
      <c r="N218" s="11"/>
      <c r="O218" s="12" t="str">
        <f>IF(AND(ROW()-1&lt;=教室申込!$K$5,教室申込!$K$7=0,COUNTA(教室申込!$C$4)=1),INDEX(展開用!$G$2:$G$601,MATCH(ROW()-1,展開用!$E$2:$E$601,0)),"")</f>
        <v/>
      </c>
      <c r="P218" s="11"/>
      <c r="Q218" s="11"/>
      <c r="R218" s="11"/>
      <c r="S218" s="11"/>
      <c r="T218" s="11"/>
      <c r="U218" s="11" t="str">
        <f>IF(AND(ROW()-1&lt;=教室申込!$K$5,教室申込!$K$7=0,COUNTA(教室申込!$C$4)=1),INDEX(展開用!$F$2:$F$601,MATCH(ROW()-1,展開用!$E$2:$E$601,0)),"")</f>
        <v/>
      </c>
      <c r="V218" s="11"/>
      <c r="W218" s="11"/>
      <c r="X218" s="11"/>
      <c r="Y218" s="11"/>
      <c r="Z218" s="11"/>
      <c r="AA218" s="11" t="str">
        <f>IF($AW218="","",IF(INDEX(教室申込!$J$1:$J$212,$AW218)="","",INDEX(教室申込!$J$1:$J$212,$AW218)))</f>
        <v/>
      </c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" t="str">
        <f>IF(AND(ROW()-1&lt;=教室申込!$K$5,教室申込!$K$7=0,COUNTA(教室申込!$C$4)=1),INDEX(展開用!$B$2:$B$601,MATCH(ROW()-1,展開用!$E$2:$E$601,0)),"")</f>
        <v/>
      </c>
      <c r="AX218" s="1"/>
      <c r="AY218" s="1"/>
    </row>
    <row r="219" spans="1:51" ht="24" customHeight="1">
      <c r="A219" s="11"/>
      <c r="B219" s="11"/>
      <c r="C219" s="11"/>
      <c r="D219" s="11"/>
      <c r="E219" s="11"/>
      <c r="F219" s="11"/>
      <c r="G219" s="11"/>
      <c r="H219" s="11" t="str">
        <f>IF(AND(ROW()-1&lt;=教室申込!$K$5,教室申込!$K$7=0,COUNTA(教室申込!$C$4)=1),INDEX(展開用!$C$2:$C$601,MATCH(ROW()-1,展開用!$E$2:$E$601,0)),"")</f>
        <v/>
      </c>
      <c r="I219" s="11" t="str">
        <f>IF(AND(ROW()-1&lt;=教室申込!$K$5,教室申込!$K$7=0,COUNTA(教室申込!$C$4)=1),INDEX(展開用!$D$2:$D$601,MATCH(ROW()-1,展開用!$E$2:$E$601,0)),"")</f>
        <v/>
      </c>
      <c r="J219" s="11"/>
      <c r="K219" s="11"/>
      <c r="L219" s="11" t="str">
        <f>IF(AND(ROW()-1&lt;=教室申込!$K$5,教室申込!$K$7=0,COUNTA(教室申込!$C$4)=1),INDEX(教室申込!$B$1:$B$212,$AW219),"")</f>
        <v/>
      </c>
      <c r="M219" s="11" t="str">
        <f>IF(AND(ROW()-1&lt;=教室申込!$K$5,教室申込!$K$7=0,COUNTA(教室申込!$C$4)=1),INDEX(教室申込!$C$1:$C$212,$AW219),"")</f>
        <v/>
      </c>
      <c r="N219" s="11"/>
      <c r="O219" s="12" t="str">
        <f>IF(AND(ROW()-1&lt;=教室申込!$K$5,教室申込!$K$7=0,COUNTA(教室申込!$C$4)=1),INDEX(展開用!$G$2:$G$601,MATCH(ROW()-1,展開用!$E$2:$E$601,0)),"")</f>
        <v/>
      </c>
      <c r="P219" s="11"/>
      <c r="Q219" s="11"/>
      <c r="R219" s="11"/>
      <c r="S219" s="11"/>
      <c r="T219" s="11"/>
      <c r="U219" s="11" t="str">
        <f>IF(AND(ROW()-1&lt;=教室申込!$K$5,教室申込!$K$7=0,COUNTA(教室申込!$C$4)=1),INDEX(展開用!$F$2:$F$601,MATCH(ROW()-1,展開用!$E$2:$E$601,0)),"")</f>
        <v/>
      </c>
      <c r="V219" s="11"/>
      <c r="W219" s="11"/>
      <c r="X219" s="11"/>
      <c r="Y219" s="11"/>
      <c r="Z219" s="11"/>
      <c r="AA219" s="11" t="str">
        <f>IF($AW219="","",IF(INDEX(教室申込!$J$1:$J$212,$AW219)="","",INDEX(教室申込!$J$1:$J$212,$AW219)))</f>
        <v/>
      </c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" t="str">
        <f>IF(AND(ROW()-1&lt;=教室申込!$K$5,教室申込!$K$7=0,COUNTA(教室申込!$C$4)=1),INDEX(展開用!$B$2:$B$601,MATCH(ROW()-1,展開用!$E$2:$E$601,0)),"")</f>
        <v/>
      </c>
      <c r="AX219" s="1"/>
      <c r="AY219" s="1"/>
    </row>
    <row r="220" spans="1:51" ht="24" customHeight="1">
      <c r="A220" s="11"/>
      <c r="B220" s="11"/>
      <c r="C220" s="11"/>
      <c r="D220" s="11"/>
      <c r="E220" s="11"/>
      <c r="F220" s="11"/>
      <c r="G220" s="11"/>
      <c r="H220" s="11" t="str">
        <f>IF(AND(ROW()-1&lt;=教室申込!$K$5,教室申込!$K$7=0,COUNTA(教室申込!$C$4)=1),INDEX(展開用!$C$2:$C$601,MATCH(ROW()-1,展開用!$E$2:$E$601,0)),"")</f>
        <v/>
      </c>
      <c r="I220" s="11" t="str">
        <f>IF(AND(ROW()-1&lt;=教室申込!$K$5,教室申込!$K$7=0,COUNTA(教室申込!$C$4)=1),INDEX(展開用!$D$2:$D$601,MATCH(ROW()-1,展開用!$E$2:$E$601,0)),"")</f>
        <v/>
      </c>
      <c r="J220" s="11"/>
      <c r="K220" s="11"/>
      <c r="L220" s="11" t="str">
        <f>IF(AND(ROW()-1&lt;=教室申込!$K$5,教室申込!$K$7=0,COUNTA(教室申込!$C$4)=1),INDEX(教室申込!$B$1:$B$212,$AW220),"")</f>
        <v/>
      </c>
      <c r="M220" s="11" t="str">
        <f>IF(AND(ROW()-1&lt;=教室申込!$K$5,教室申込!$K$7=0,COUNTA(教室申込!$C$4)=1),INDEX(教室申込!$C$1:$C$212,$AW220),"")</f>
        <v/>
      </c>
      <c r="N220" s="11"/>
      <c r="O220" s="12" t="str">
        <f>IF(AND(ROW()-1&lt;=教室申込!$K$5,教室申込!$K$7=0,COUNTA(教室申込!$C$4)=1),INDEX(展開用!$G$2:$G$601,MATCH(ROW()-1,展開用!$E$2:$E$601,0)),"")</f>
        <v/>
      </c>
      <c r="P220" s="11"/>
      <c r="Q220" s="11"/>
      <c r="R220" s="11"/>
      <c r="S220" s="11"/>
      <c r="T220" s="11"/>
      <c r="U220" s="11" t="str">
        <f>IF(AND(ROW()-1&lt;=教室申込!$K$5,教室申込!$K$7=0,COUNTA(教室申込!$C$4)=1),INDEX(展開用!$F$2:$F$601,MATCH(ROW()-1,展開用!$E$2:$E$601,0)),"")</f>
        <v/>
      </c>
      <c r="V220" s="11"/>
      <c r="W220" s="11"/>
      <c r="X220" s="11"/>
      <c r="Y220" s="11"/>
      <c r="Z220" s="11"/>
      <c r="AA220" s="11" t="str">
        <f>IF($AW220="","",IF(INDEX(教室申込!$J$1:$J$212,$AW220)="","",INDEX(教室申込!$J$1:$J$212,$AW220)))</f>
        <v/>
      </c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" t="str">
        <f>IF(AND(ROW()-1&lt;=教室申込!$K$5,教室申込!$K$7=0,COUNTA(教室申込!$C$4)=1),INDEX(展開用!$B$2:$B$601,MATCH(ROW()-1,展開用!$E$2:$E$601,0)),"")</f>
        <v/>
      </c>
      <c r="AX220" s="1"/>
      <c r="AY220" s="1"/>
    </row>
    <row r="221" spans="1:51" ht="24" customHeight="1">
      <c r="A221" s="11"/>
      <c r="B221" s="11"/>
      <c r="C221" s="11"/>
      <c r="D221" s="11"/>
      <c r="E221" s="11"/>
      <c r="F221" s="11"/>
      <c r="G221" s="11"/>
      <c r="H221" s="11" t="str">
        <f>IF(AND(ROW()-1&lt;=教室申込!$K$5,教室申込!$K$7=0,COUNTA(教室申込!$C$4)=1),INDEX(展開用!$C$2:$C$601,MATCH(ROW()-1,展開用!$E$2:$E$601,0)),"")</f>
        <v/>
      </c>
      <c r="I221" s="11" t="str">
        <f>IF(AND(ROW()-1&lt;=教室申込!$K$5,教室申込!$K$7=0,COUNTA(教室申込!$C$4)=1),INDEX(展開用!$D$2:$D$601,MATCH(ROW()-1,展開用!$E$2:$E$601,0)),"")</f>
        <v/>
      </c>
      <c r="J221" s="11"/>
      <c r="K221" s="11"/>
      <c r="L221" s="11" t="str">
        <f>IF(AND(ROW()-1&lt;=教室申込!$K$5,教室申込!$K$7=0,COUNTA(教室申込!$C$4)=1),INDEX(教室申込!$B$1:$B$212,$AW221),"")</f>
        <v/>
      </c>
      <c r="M221" s="11" t="str">
        <f>IF(AND(ROW()-1&lt;=教室申込!$K$5,教室申込!$K$7=0,COUNTA(教室申込!$C$4)=1),INDEX(教室申込!$C$1:$C$212,$AW221),"")</f>
        <v/>
      </c>
      <c r="N221" s="11"/>
      <c r="O221" s="12" t="str">
        <f>IF(AND(ROW()-1&lt;=教室申込!$K$5,教室申込!$K$7=0,COUNTA(教室申込!$C$4)=1),INDEX(展開用!$G$2:$G$601,MATCH(ROW()-1,展開用!$E$2:$E$601,0)),"")</f>
        <v/>
      </c>
      <c r="P221" s="11"/>
      <c r="Q221" s="11"/>
      <c r="R221" s="11"/>
      <c r="S221" s="11"/>
      <c r="T221" s="11"/>
      <c r="U221" s="11" t="str">
        <f>IF(AND(ROW()-1&lt;=教室申込!$K$5,教室申込!$K$7=0,COUNTA(教室申込!$C$4)=1),INDEX(展開用!$F$2:$F$601,MATCH(ROW()-1,展開用!$E$2:$E$601,0)),"")</f>
        <v/>
      </c>
      <c r="V221" s="11"/>
      <c r="W221" s="11"/>
      <c r="X221" s="11"/>
      <c r="Y221" s="11"/>
      <c r="Z221" s="11"/>
      <c r="AA221" s="11" t="str">
        <f>IF($AW221="","",IF(INDEX(教室申込!$J$1:$J$212,$AW221)="","",INDEX(教室申込!$J$1:$J$212,$AW221)))</f>
        <v/>
      </c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" t="str">
        <f>IF(AND(ROW()-1&lt;=教室申込!$K$5,教室申込!$K$7=0,COUNTA(教室申込!$C$4)=1),INDEX(展開用!$B$2:$B$601,MATCH(ROW()-1,展開用!$E$2:$E$601,0)),"")</f>
        <v/>
      </c>
      <c r="AX221" s="1"/>
      <c r="AY221" s="1"/>
    </row>
    <row r="222" spans="1:51" ht="24" customHeight="1">
      <c r="A222" s="11"/>
      <c r="B222" s="11"/>
      <c r="C222" s="11"/>
      <c r="D222" s="11"/>
      <c r="E222" s="11"/>
      <c r="F222" s="11"/>
      <c r="G222" s="11"/>
      <c r="H222" s="11" t="str">
        <f>IF(AND(ROW()-1&lt;=教室申込!$K$5,教室申込!$K$7=0,COUNTA(教室申込!$C$4)=1),INDEX(展開用!$C$2:$C$601,MATCH(ROW()-1,展開用!$E$2:$E$601,0)),"")</f>
        <v/>
      </c>
      <c r="I222" s="11" t="str">
        <f>IF(AND(ROW()-1&lt;=教室申込!$K$5,教室申込!$K$7=0,COUNTA(教室申込!$C$4)=1),INDEX(展開用!$D$2:$D$601,MATCH(ROW()-1,展開用!$E$2:$E$601,0)),"")</f>
        <v/>
      </c>
      <c r="J222" s="11"/>
      <c r="K222" s="11"/>
      <c r="L222" s="11" t="str">
        <f>IF(AND(ROW()-1&lt;=教室申込!$K$5,教室申込!$K$7=0,COUNTA(教室申込!$C$4)=1),INDEX(教室申込!$B$1:$B$212,$AW222),"")</f>
        <v/>
      </c>
      <c r="M222" s="11" t="str">
        <f>IF(AND(ROW()-1&lt;=教室申込!$K$5,教室申込!$K$7=0,COUNTA(教室申込!$C$4)=1),INDEX(教室申込!$C$1:$C$212,$AW222),"")</f>
        <v/>
      </c>
      <c r="N222" s="11"/>
      <c r="O222" s="12" t="str">
        <f>IF(AND(ROW()-1&lt;=教室申込!$K$5,教室申込!$K$7=0,COUNTA(教室申込!$C$4)=1),INDEX(展開用!$G$2:$G$601,MATCH(ROW()-1,展開用!$E$2:$E$601,0)),"")</f>
        <v/>
      </c>
      <c r="P222" s="11"/>
      <c r="Q222" s="11"/>
      <c r="R222" s="11"/>
      <c r="S222" s="11"/>
      <c r="T222" s="11"/>
      <c r="U222" s="11" t="str">
        <f>IF(AND(ROW()-1&lt;=教室申込!$K$5,教室申込!$K$7=0,COUNTA(教室申込!$C$4)=1),INDEX(展開用!$F$2:$F$601,MATCH(ROW()-1,展開用!$E$2:$E$601,0)),"")</f>
        <v/>
      </c>
      <c r="V222" s="11"/>
      <c r="W222" s="11"/>
      <c r="X222" s="11"/>
      <c r="Y222" s="11"/>
      <c r="Z222" s="11"/>
      <c r="AA222" s="11" t="str">
        <f>IF($AW222="","",IF(INDEX(教室申込!$J$1:$J$212,$AW222)="","",INDEX(教室申込!$J$1:$J$212,$AW222)))</f>
        <v/>
      </c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" t="str">
        <f>IF(AND(ROW()-1&lt;=教室申込!$K$5,教室申込!$K$7=0,COUNTA(教室申込!$C$4)=1),INDEX(展開用!$B$2:$B$601,MATCH(ROW()-1,展開用!$E$2:$E$601,0)),"")</f>
        <v/>
      </c>
      <c r="AX222" s="1"/>
      <c r="AY222" s="1"/>
    </row>
    <row r="223" spans="1:51" ht="24" customHeight="1">
      <c r="A223" s="11"/>
      <c r="B223" s="11"/>
      <c r="C223" s="11"/>
      <c r="D223" s="11"/>
      <c r="E223" s="11"/>
      <c r="F223" s="11"/>
      <c r="G223" s="11"/>
      <c r="H223" s="11" t="str">
        <f>IF(AND(ROW()-1&lt;=教室申込!$K$5,教室申込!$K$7=0,COUNTA(教室申込!$C$4)=1),INDEX(展開用!$C$2:$C$601,MATCH(ROW()-1,展開用!$E$2:$E$601,0)),"")</f>
        <v/>
      </c>
      <c r="I223" s="11" t="str">
        <f>IF(AND(ROW()-1&lt;=教室申込!$K$5,教室申込!$K$7=0,COUNTA(教室申込!$C$4)=1),INDEX(展開用!$D$2:$D$601,MATCH(ROW()-1,展開用!$E$2:$E$601,0)),"")</f>
        <v/>
      </c>
      <c r="J223" s="11"/>
      <c r="K223" s="11"/>
      <c r="L223" s="11" t="str">
        <f>IF(AND(ROW()-1&lt;=教室申込!$K$5,教室申込!$K$7=0,COUNTA(教室申込!$C$4)=1),INDEX(教室申込!$B$1:$B$212,$AW223),"")</f>
        <v/>
      </c>
      <c r="M223" s="11" t="str">
        <f>IF(AND(ROW()-1&lt;=教室申込!$K$5,教室申込!$K$7=0,COUNTA(教室申込!$C$4)=1),INDEX(教室申込!$C$1:$C$212,$AW223),"")</f>
        <v/>
      </c>
      <c r="N223" s="11"/>
      <c r="O223" s="12" t="str">
        <f>IF(AND(ROW()-1&lt;=教室申込!$K$5,教室申込!$K$7=0,COUNTA(教室申込!$C$4)=1),INDEX(展開用!$G$2:$G$601,MATCH(ROW()-1,展開用!$E$2:$E$601,0)),"")</f>
        <v/>
      </c>
      <c r="P223" s="11"/>
      <c r="Q223" s="11"/>
      <c r="R223" s="11"/>
      <c r="S223" s="11"/>
      <c r="T223" s="11"/>
      <c r="U223" s="11" t="str">
        <f>IF(AND(ROW()-1&lt;=教室申込!$K$5,教室申込!$K$7=0,COUNTA(教室申込!$C$4)=1),INDEX(展開用!$F$2:$F$601,MATCH(ROW()-1,展開用!$E$2:$E$601,0)),"")</f>
        <v/>
      </c>
      <c r="V223" s="11"/>
      <c r="W223" s="11"/>
      <c r="X223" s="11"/>
      <c r="Y223" s="11"/>
      <c r="Z223" s="11"/>
      <c r="AA223" s="11" t="str">
        <f>IF($AW223="","",IF(INDEX(教室申込!$J$1:$J$212,$AW223)="","",INDEX(教室申込!$J$1:$J$212,$AW223)))</f>
        <v/>
      </c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" t="str">
        <f>IF(AND(ROW()-1&lt;=教室申込!$K$5,教室申込!$K$7=0,COUNTA(教室申込!$C$4)=1),INDEX(展開用!$B$2:$B$601,MATCH(ROW()-1,展開用!$E$2:$E$601,0)),"")</f>
        <v/>
      </c>
      <c r="AX223" s="1"/>
      <c r="AY223" s="1"/>
    </row>
    <row r="224" spans="1:51" ht="24" customHeight="1">
      <c r="A224" s="11"/>
      <c r="B224" s="11"/>
      <c r="C224" s="11"/>
      <c r="D224" s="11"/>
      <c r="E224" s="11"/>
      <c r="F224" s="11"/>
      <c r="G224" s="11"/>
      <c r="H224" s="11" t="str">
        <f>IF(AND(ROW()-1&lt;=教室申込!$K$5,教室申込!$K$7=0,COUNTA(教室申込!$C$4)=1),INDEX(展開用!$C$2:$C$601,MATCH(ROW()-1,展開用!$E$2:$E$601,0)),"")</f>
        <v/>
      </c>
      <c r="I224" s="11" t="str">
        <f>IF(AND(ROW()-1&lt;=教室申込!$K$5,教室申込!$K$7=0,COUNTA(教室申込!$C$4)=1),INDEX(展開用!$D$2:$D$601,MATCH(ROW()-1,展開用!$E$2:$E$601,0)),"")</f>
        <v/>
      </c>
      <c r="J224" s="11"/>
      <c r="K224" s="11"/>
      <c r="L224" s="11" t="str">
        <f>IF(AND(ROW()-1&lt;=教室申込!$K$5,教室申込!$K$7=0,COUNTA(教室申込!$C$4)=1),INDEX(教室申込!$B$1:$B$212,$AW224),"")</f>
        <v/>
      </c>
      <c r="M224" s="11" t="str">
        <f>IF(AND(ROW()-1&lt;=教室申込!$K$5,教室申込!$K$7=0,COUNTA(教室申込!$C$4)=1),INDEX(教室申込!$C$1:$C$212,$AW224),"")</f>
        <v/>
      </c>
      <c r="N224" s="11"/>
      <c r="O224" s="12" t="str">
        <f>IF(AND(ROW()-1&lt;=教室申込!$K$5,教室申込!$K$7=0,COUNTA(教室申込!$C$4)=1),INDEX(展開用!$G$2:$G$601,MATCH(ROW()-1,展開用!$E$2:$E$601,0)),"")</f>
        <v/>
      </c>
      <c r="P224" s="11"/>
      <c r="Q224" s="11"/>
      <c r="R224" s="11"/>
      <c r="S224" s="11"/>
      <c r="T224" s="11"/>
      <c r="U224" s="11" t="str">
        <f>IF(AND(ROW()-1&lt;=教室申込!$K$5,教室申込!$K$7=0,COUNTA(教室申込!$C$4)=1),INDEX(展開用!$F$2:$F$601,MATCH(ROW()-1,展開用!$E$2:$E$601,0)),"")</f>
        <v/>
      </c>
      <c r="V224" s="11"/>
      <c r="W224" s="11"/>
      <c r="X224" s="11"/>
      <c r="Y224" s="11"/>
      <c r="Z224" s="11"/>
      <c r="AA224" s="11" t="str">
        <f>IF($AW224="","",IF(INDEX(教室申込!$J$1:$J$212,$AW224)="","",INDEX(教室申込!$J$1:$J$212,$AW224)))</f>
        <v/>
      </c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" t="str">
        <f>IF(AND(ROW()-1&lt;=教室申込!$K$5,教室申込!$K$7=0,COUNTA(教室申込!$C$4)=1),INDEX(展開用!$B$2:$B$601,MATCH(ROW()-1,展開用!$E$2:$E$601,0)),"")</f>
        <v/>
      </c>
      <c r="AX224" s="1"/>
      <c r="AY224" s="1"/>
    </row>
    <row r="225" spans="1:51" ht="24" customHeight="1">
      <c r="A225" s="11"/>
      <c r="B225" s="11"/>
      <c r="C225" s="11"/>
      <c r="D225" s="11"/>
      <c r="E225" s="11"/>
      <c r="F225" s="11"/>
      <c r="G225" s="11"/>
      <c r="H225" s="11" t="str">
        <f>IF(AND(ROW()-1&lt;=教室申込!$K$5,教室申込!$K$7=0,COUNTA(教室申込!$C$4)=1),INDEX(展開用!$C$2:$C$601,MATCH(ROW()-1,展開用!$E$2:$E$601,0)),"")</f>
        <v/>
      </c>
      <c r="I225" s="11" t="str">
        <f>IF(AND(ROW()-1&lt;=教室申込!$K$5,教室申込!$K$7=0,COUNTA(教室申込!$C$4)=1),INDEX(展開用!$D$2:$D$601,MATCH(ROW()-1,展開用!$E$2:$E$601,0)),"")</f>
        <v/>
      </c>
      <c r="J225" s="11"/>
      <c r="K225" s="11"/>
      <c r="L225" s="11" t="str">
        <f>IF(AND(ROW()-1&lt;=教室申込!$K$5,教室申込!$K$7=0,COUNTA(教室申込!$C$4)=1),INDEX(教室申込!$B$1:$B$212,$AW225),"")</f>
        <v/>
      </c>
      <c r="M225" s="11" t="str">
        <f>IF(AND(ROW()-1&lt;=教室申込!$K$5,教室申込!$K$7=0,COUNTA(教室申込!$C$4)=1),INDEX(教室申込!$C$1:$C$212,$AW225),"")</f>
        <v/>
      </c>
      <c r="N225" s="11"/>
      <c r="O225" s="12" t="str">
        <f>IF(AND(ROW()-1&lt;=教室申込!$K$5,教室申込!$K$7=0,COUNTA(教室申込!$C$4)=1),INDEX(展開用!$G$2:$G$601,MATCH(ROW()-1,展開用!$E$2:$E$601,0)),"")</f>
        <v/>
      </c>
      <c r="P225" s="11"/>
      <c r="Q225" s="11"/>
      <c r="R225" s="11"/>
      <c r="S225" s="11"/>
      <c r="T225" s="11"/>
      <c r="U225" s="11" t="str">
        <f>IF(AND(ROW()-1&lt;=教室申込!$K$5,教室申込!$K$7=0,COUNTA(教室申込!$C$4)=1),INDEX(展開用!$F$2:$F$601,MATCH(ROW()-1,展開用!$E$2:$E$601,0)),"")</f>
        <v/>
      </c>
      <c r="V225" s="11"/>
      <c r="W225" s="11"/>
      <c r="X225" s="11"/>
      <c r="Y225" s="11"/>
      <c r="Z225" s="11"/>
      <c r="AA225" s="11" t="str">
        <f>IF($AW225="","",IF(INDEX(教室申込!$J$1:$J$212,$AW225)="","",INDEX(教室申込!$J$1:$J$212,$AW225)))</f>
        <v/>
      </c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" t="str">
        <f>IF(AND(ROW()-1&lt;=教室申込!$K$5,教室申込!$K$7=0,COUNTA(教室申込!$C$4)=1),INDEX(展開用!$B$2:$B$601,MATCH(ROW()-1,展開用!$E$2:$E$601,0)),"")</f>
        <v/>
      </c>
      <c r="AX225" s="1"/>
      <c r="AY225" s="1"/>
    </row>
    <row r="226" spans="1:51" ht="24" customHeight="1">
      <c r="A226" s="11"/>
      <c r="B226" s="11"/>
      <c r="C226" s="11"/>
      <c r="D226" s="11"/>
      <c r="E226" s="11"/>
      <c r="F226" s="11"/>
      <c r="G226" s="11"/>
      <c r="H226" s="11" t="str">
        <f>IF(AND(ROW()-1&lt;=教室申込!$K$5,教室申込!$K$7=0,COUNTA(教室申込!$C$4)=1),INDEX(展開用!$C$2:$C$601,MATCH(ROW()-1,展開用!$E$2:$E$601,0)),"")</f>
        <v/>
      </c>
      <c r="I226" s="11" t="str">
        <f>IF(AND(ROW()-1&lt;=教室申込!$K$5,教室申込!$K$7=0,COUNTA(教室申込!$C$4)=1),INDEX(展開用!$D$2:$D$601,MATCH(ROW()-1,展開用!$E$2:$E$601,0)),"")</f>
        <v/>
      </c>
      <c r="J226" s="11"/>
      <c r="K226" s="11"/>
      <c r="L226" s="11" t="str">
        <f>IF(AND(ROW()-1&lt;=教室申込!$K$5,教室申込!$K$7=0,COUNTA(教室申込!$C$4)=1),INDEX(教室申込!$B$1:$B$212,$AW226),"")</f>
        <v/>
      </c>
      <c r="M226" s="11" t="str">
        <f>IF(AND(ROW()-1&lt;=教室申込!$K$5,教室申込!$K$7=0,COUNTA(教室申込!$C$4)=1),INDEX(教室申込!$C$1:$C$212,$AW226),"")</f>
        <v/>
      </c>
      <c r="N226" s="11"/>
      <c r="O226" s="12" t="str">
        <f>IF(AND(ROW()-1&lt;=教室申込!$K$5,教室申込!$K$7=0,COUNTA(教室申込!$C$4)=1),INDEX(展開用!$G$2:$G$601,MATCH(ROW()-1,展開用!$E$2:$E$601,0)),"")</f>
        <v/>
      </c>
      <c r="P226" s="11"/>
      <c r="Q226" s="11"/>
      <c r="R226" s="11"/>
      <c r="S226" s="11"/>
      <c r="T226" s="11"/>
      <c r="U226" s="11" t="str">
        <f>IF(AND(ROW()-1&lt;=教室申込!$K$5,教室申込!$K$7=0,COUNTA(教室申込!$C$4)=1),INDEX(展開用!$F$2:$F$601,MATCH(ROW()-1,展開用!$E$2:$E$601,0)),"")</f>
        <v/>
      </c>
      <c r="V226" s="11"/>
      <c r="W226" s="11"/>
      <c r="X226" s="11"/>
      <c r="Y226" s="11"/>
      <c r="Z226" s="11"/>
      <c r="AA226" s="11" t="str">
        <f>IF($AW226="","",IF(INDEX(教室申込!$J$1:$J$212,$AW226)="","",INDEX(教室申込!$J$1:$J$212,$AW226)))</f>
        <v/>
      </c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" t="str">
        <f>IF(AND(ROW()-1&lt;=教室申込!$K$5,教室申込!$K$7=0,COUNTA(教室申込!$C$4)=1),INDEX(展開用!$B$2:$B$601,MATCH(ROW()-1,展開用!$E$2:$E$601,0)),"")</f>
        <v/>
      </c>
      <c r="AX226" s="1"/>
      <c r="AY226" s="1"/>
    </row>
    <row r="227" spans="1:51" ht="24" customHeight="1">
      <c r="A227" s="11"/>
      <c r="B227" s="11"/>
      <c r="C227" s="11"/>
      <c r="D227" s="11"/>
      <c r="E227" s="11"/>
      <c r="F227" s="11"/>
      <c r="G227" s="11"/>
      <c r="H227" s="11" t="str">
        <f>IF(AND(ROW()-1&lt;=教室申込!$K$5,教室申込!$K$7=0,COUNTA(教室申込!$C$4)=1),INDEX(展開用!$C$2:$C$601,MATCH(ROW()-1,展開用!$E$2:$E$601,0)),"")</f>
        <v/>
      </c>
      <c r="I227" s="11" t="str">
        <f>IF(AND(ROW()-1&lt;=教室申込!$K$5,教室申込!$K$7=0,COUNTA(教室申込!$C$4)=1),INDEX(展開用!$D$2:$D$601,MATCH(ROW()-1,展開用!$E$2:$E$601,0)),"")</f>
        <v/>
      </c>
      <c r="J227" s="11"/>
      <c r="K227" s="11"/>
      <c r="L227" s="11" t="str">
        <f>IF(AND(ROW()-1&lt;=教室申込!$K$5,教室申込!$K$7=0,COUNTA(教室申込!$C$4)=1),INDEX(教室申込!$B$1:$B$212,$AW227),"")</f>
        <v/>
      </c>
      <c r="M227" s="11" t="str">
        <f>IF(AND(ROW()-1&lt;=教室申込!$K$5,教室申込!$K$7=0,COUNTA(教室申込!$C$4)=1),INDEX(教室申込!$C$1:$C$212,$AW227),"")</f>
        <v/>
      </c>
      <c r="N227" s="11"/>
      <c r="O227" s="12" t="str">
        <f>IF(AND(ROW()-1&lt;=教室申込!$K$5,教室申込!$K$7=0,COUNTA(教室申込!$C$4)=1),INDEX(展開用!$G$2:$G$601,MATCH(ROW()-1,展開用!$E$2:$E$601,0)),"")</f>
        <v/>
      </c>
      <c r="P227" s="11"/>
      <c r="Q227" s="11"/>
      <c r="R227" s="11"/>
      <c r="S227" s="11"/>
      <c r="T227" s="11"/>
      <c r="U227" s="11" t="str">
        <f>IF(AND(ROW()-1&lt;=教室申込!$K$5,教室申込!$K$7=0,COUNTA(教室申込!$C$4)=1),INDEX(展開用!$F$2:$F$601,MATCH(ROW()-1,展開用!$E$2:$E$601,0)),"")</f>
        <v/>
      </c>
      <c r="V227" s="11"/>
      <c r="W227" s="11"/>
      <c r="X227" s="11"/>
      <c r="Y227" s="11"/>
      <c r="Z227" s="11"/>
      <c r="AA227" s="11" t="str">
        <f>IF($AW227="","",IF(INDEX(教室申込!$J$1:$J$212,$AW227)="","",INDEX(教室申込!$J$1:$J$212,$AW227)))</f>
        <v/>
      </c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" t="str">
        <f>IF(AND(ROW()-1&lt;=教室申込!$K$5,教室申込!$K$7=0,COUNTA(教室申込!$C$4)=1),INDEX(展開用!$B$2:$B$601,MATCH(ROW()-1,展開用!$E$2:$E$601,0)),"")</f>
        <v/>
      </c>
      <c r="AX227" s="1"/>
      <c r="AY227" s="1"/>
    </row>
    <row r="228" spans="1:51" ht="24" customHeight="1">
      <c r="A228" s="11"/>
      <c r="B228" s="11"/>
      <c r="C228" s="11"/>
      <c r="D228" s="11"/>
      <c r="E228" s="11"/>
      <c r="F228" s="11"/>
      <c r="G228" s="11"/>
      <c r="H228" s="11" t="str">
        <f>IF(AND(ROW()-1&lt;=教室申込!$K$5,教室申込!$K$7=0,COUNTA(教室申込!$C$4)=1),INDEX(展開用!$C$2:$C$601,MATCH(ROW()-1,展開用!$E$2:$E$601,0)),"")</f>
        <v/>
      </c>
      <c r="I228" s="11" t="str">
        <f>IF(AND(ROW()-1&lt;=教室申込!$K$5,教室申込!$K$7=0,COUNTA(教室申込!$C$4)=1),INDEX(展開用!$D$2:$D$601,MATCH(ROW()-1,展開用!$E$2:$E$601,0)),"")</f>
        <v/>
      </c>
      <c r="J228" s="11"/>
      <c r="K228" s="11"/>
      <c r="L228" s="11" t="str">
        <f>IF(AND(ROW()-1&lt;=教室申込!$K$5,教室申込!$K$7=0,COUNTA(教室申込!$C$4)=1),INDEX(教室申込!$B$1:$B$212,$AW228),"")</f>
        <v/>
      </c>
      <c r="M228" s="11" t="str">
        <f>IF(AND(ROW()-1&lt;=教室申込!$K$5,教室申込!$K$7=0,COUNTA(教室申込!$C$4)=1),INDEX(教室申込!$C$1:$C$212,$AW228),"")</f>
        <v/>
      </c>
      <c r="N228" s="11"/>
      <c r="O228" s="12" t="str">
        <f>IF(AND(ROW()-1&lt;=教室申込!$K$5,教室申込!$K$7=0,COUNTA(教室申込!$C$4)=1),INDEX(展開用!$G$2:$G$601,MATCH(ROW()-1,展開用!$E$2:$E$601,0)),"")</f>
        <v/>
      </c>
      <c r="P228" s="11"/>
      <c r="Q228" s="11"/>
      <c r="R228" s="11"/>
      <c r="S228" s="11"/>
      <c r="T228" s="11"/>
      <c r="U228" s="11" t="str">
        <f>IF(AND(ROW()-1&lt;=教室申込!$K$5,教室申込!$K$7=0,COUNTA(教室申込!$C$4)=1),INDEX(展開用!$F$2:$F$601,MATCH(ROW()-1,展開用!$E$2:$E$601,0)),"")</f>
        <v/>
      </c>
      <c r="V228" s="11"/>
      <c r="W228" s="11"/>
      <c r="X228" s="11"/>
      <c r="Y228" s="11"/>
      <c r="Z228" s="11"/>
      <c r="AA228" s="11" t="str">
        <f>IF($AW228="","",IF(INDEX(教室申込!$J$1:$J$212,$AW228)="","",INDEX(教室申込!$J$1:$J$212,$AW228)))</f>
        <v/>
      </c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" t="str">
        <f>IF(AND(ROW()-1&lt;=教室申込!$K$5,教室申込!$K$7=0,COUNTA(教室申込!$C$4)=1),INDEX(展開用!$B$2:$B$601,MATCH(ROW()-1,展開用!$E$2:$E$601,0)),"")</f>
        <v/>
      </c>
      <c r="AX228" s="1"/>
      <c r="AY228" s="1"/>
    </row>
    <row r="229" spans="1:51" ht="24" customHeight="1">
      <c r="A229" s="11"/>
      <c r="B229" s="11"/>
      <c r="C229" s="11"/>
      <c r="D229" s="11"/>
      <c r="E229" s="11"/>
      <c r="F229" s="11"/>
      <c r="G229" s="11"/>
      <c r="H229" s="11" t="str">
        <f>IF(AND(ROW()-1&lt;=教室申込!$K$5,教室申込!$K$7=0,COUNTA(教室申込!$C$4)=1),INDEX(展開用!$C$2:$C$601,MATCH(ROW()-1,展開用!$E$2:$E$601,0)),"")</f>
        <v/>
      </c>
      <c r="I229" s="11" t="str">
        <f>IF(AND(ROW()-1&lt;=教室申込!$K$5,教室申込!$K$7=0,COUNTA(教室申込!$C$4)=1),INDEX(展開用!$D$2:$D$601,MATCH(ROW()-1,展開用!$E$2:$E$601,0)),"")</f>
        <v/>
      </c>
      <c r="J229" s="11"/>
      <c r="K229" s="11"/>
      <c r="L229" s="11" t="str">
        <f>IF(AND(ROW()-1&lt;=教室申込!$K$5,教室申込!$K$7=0,COUNTA(教室申込!$C$4)=1),INDEX(教室申込!$B$1:$B$212,$AW229),"")</f>
        <v/>
      </c>
      <c r="M229" s="11" t="str">
        <f>IF(AND(ROW()-1&lt;=教室申込!$K$5,教室申込!$K$7=0,COUNTA(教室申込!$C$4)=1),INDEX(教室申込!$C$1:$C$212,$AW229),"")</f>
        <v/>
      </c>
      <c r="N229" s="11"/>
      <c r="O229" s="12" t="str">
        <f>IF(AND(ROW()-1&lt;=教室申込!$K$5,教室申込!$K$7=0,COUNTA(教室申込!$C$4)=1),INDEX(展開用!$G$2:$G$601,MATCH(ROW()-1,展開用!$E$2:$E$601,0)),"")</f>
        <v/>
      </c>
      <c r="P229" s="11"/>
      <c r="Q229" s="11"/>
      <c r="R229" s="11"/>
      <c r="S229" s="11"/>
      <c r="T229" s="11"/>
      <c r="U229" s="11" t="str">
        <f>IF(AND(ROW()-1&lt;=教室申込!$K$5,教室申込!$K$7=0,COUNTA(教室申込!$C$4)=1),INDEX(展開用!$F$2:$F$601,MATCH(ROW()-1,展開用!$E$2:$E$601,0)),"")</f>
        <v/>
      </c>
      <c r="V229" s="11"/>
      <c r="W229" s="11"/>
      <c r="X229" s="11"/>
      <c r="Y229" s="11"/>
      <c r="Z229" s="11"/>
      <c r="AA229" s="11" t="str">
        <f>IF($AW229="","",IF(INDEX(教室申込!$J$1:$J$212,$AW229)="","",INDEX(教室申込!$J$1:$J$212,$AW229)))</f>
        <v/>
      </c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" t="str">
        <f>IF(AND(ROW()-1&lt;=教室申込!$K$5,教室申込!$K$7=0,COUNTA(教室申込!$C$4)=1),INDEX(展開用!$B$2:$B$601,MATCH(ROW()-1,展開用!$E$2:$E$601,0)),"")</f>
        <v/>
      </c>
      <c r="AX229" s="1"/>
      <c r="AY229" s="1"/>
    </row>
    <row r="230" spans="1:51" ht="24" customHeight="1">
      <c r="A230" s="11"/>
      <c r="B230" s="11"/>
      <c r="C230" s="11"/>
      <c r="D230" s="11"/>
      <c r="E230" s="11"/>
      <c r="F230" s="11"/>
      <c r="G230" s="11"/>
      <c r="H230" s="11" t="str">
        <f>IF(AND(ROW()-1&lt;=教室申込!$K$5,教室申込!$K$7=0,COUNTA(教室申込!$C$4)=1),INDEX(展開用!$C$2:$C$601,MATCH(ROW()-1,展開用!$E$2:$E$601,0)),"")</f>
        <v/>
      </c>
      <c r="I230" s="11" t="str">
        <f>IF(AND(ROW()-1&lt;=教室申込!$K$5,教室申込!$K$7=0,COUNTA(教室申込!$C$4)=1),INDEX(展開用!$D$2:$D$601,MATCH(ROW()-1,展開用!$E$2:$E$601,0)),"")</f>
        <v/>
      </c>
      <c r="J230" s="11"/>
      <c r="K230" s="11"/>
      <c r="L230" s="11" t="str">
        <f>IF(AND(ROW()-1&lt;=教室申込!$K$5,教室申込!$K$7=0,COUNTA(教室申込!$C$4)=1),INDEX(教室申込!$B$1:$B$212,$AW230),"")</f>
        <v/>
      </c>
      <c r="M230" s="11" t="str">
        <f>IF(AND(ROW()-1&lt;=教室申込!$K$5,教室申込!$K$7=0,COUNTA(教室申込!$C$4)=1),INDEX(教室申込!$C$1:$C$212,$AW230),"")</f>
        <v/>
      </c>
      <c r="N230" s="11"/>
      <c r="O230" s="12" t="str">
        <f>IF(AND(ROW()-1&lt;=教室申込!$K$5,教室申込!$K$7=0,COUNTA(教室申込!$C$4)=1),INDEX(展開用!$G$2:$G$601,MATCH(ROW()-1,展開用!$E$2:$E$601,0)),"")</f>
        <v/>
      </c>
      <c r="P230" s="11"/>
      <c r="Q230" s="11"/>
      <c r="R230" s="11"/>
      <c r="S230" s="11"/>
      <c r="T230" s="11"/>
      <c r="U230" s="11" t="str">
        <f>IF(AND(ROW()-1&lt;=教室申込!$K$5,教室申込!$K$7=0,COUNTA(教室申込!$C$4)=1),INDEX(展開用!$F$2:$F$601,MATCH(ROW()-1,展開用!$E$2:$E$601,0)),"")</f>
        <v/>
      </c>
      <c r="V230" s="11"/>
      <c r="W230" s="11"/>
      <c r="X230" s="11"/>
      <c r="Y230" s="11"/>
      <c r="Z230" s="11"/>
      <c r="AA230" s="11" t="str">
        <f>IF($AW230="","",IF(INDEX(教室申込!$J$1:$J$212,$AW230)="","",INDEX(教室申込!$J$1:$J$212,$AW230)))</f>
        <v/>
      </c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" t="str">
        <f>IF(AND(ROW()-1&lt;=教室申込!$K$5,教室申込!$K$7=0,COUNTA(教室申込!$C$4)=1),INDEX(展開用!$B$2:$B$601,MATCH(ROW()-1,展開用!$E$2:$E$601,0)),"")</f>
        <v/>
      </c>
      <c r="AX230" s="1"/>
      <c r="AY230" s="1"/>
    </row>
    <row r="231" spans="1:51" ht="24" customHeight="1">
      <c r="A231" s="11"/>
      <c r="B231" s="11"/>
      <c r="C231" s="11"/>
      <c r="D231" s="11"/>
      <c r="E231" s="11"/>
      <c r="F231" s="11"/>
      <c r="G231" s="11"/>
      <c r="H231" s="11" t="str">
        <f>IF(AND(ROW()-1&lt;=教室申込!$K$5,教室申込!$K$7=0,COUNTA(教室申込!$C$4)=1),INDEX(展開用!$C$2:$C$601,MATCH(ROW()-1,展開用!$E$2:$E$601,0)),"")</f>
        <v/>
      </c>
      <c r="I231" s="11" t="str">
        <f>IF(AND(ROW()-1&lt;=教室申込!$K$5,教室申込!$K$7=0,COUNTA(教室申込!$C$4)=1),INDEX(展開用!$D$2:$D$601,MATCH(ROW()-1,展開用!$E$2:$E$601,0)),"")</f>
        <v/>
      </c>
      <c r="J231" s="11"/>
      <c r="K231" s="11"/>
      <c r="L231" s="11" t="str">
        <f>IF(AND(ROW()-1&lt;=教室申込!$K$5,教室申込!$K$7=0,COUNTA(教室申込!$C$4)=1),INDEX(教室申込!$B$1:$B$212,$AW231),"")</f>
        <v/>
      </c>
      <c r="M231" s="11" t="str">
        <f>IF(AND(ROW()-1&lt;=教室申込!$K$5,教室申込!$K$7=0,COUNTA(教室申込!$C$4)=1),INDEX(教室申込!$C$1:$C$212,$AW231),"")</f>
        <v/>
      </c>
      <c r="N231" s="11"/>
      <c r="O231" s="12" t="str">
        <f>IF(AND(ROW()-1&lt;=教室申込!$K$5,教室申込!$K$7=0,COUNTA(教室申込!$C$4)=1),INDEX(展開用!$G$2:$G$601,MATCH(ROW()-1,展開用!$E$2:$E$601,0)),"")</f>
        <v/>
      </c>
      <c r="P231" s="11"/>
      <c r="Q231" s="11"/>
      <c r="R231" s="11"/>
      <c r="S231" s="11"/>
      <c r="T231" s="11"/>
      <c r="U231" s="11" t="str">
        <f>IF(AND(ROW()-1&lt;=教室申込!$K$5,教室申込!$K$7=0,COUNTA(教室申込!$C$4)=1),INDEX(展開用!$F$2:$F$601,MATCH(ROW()-1,展開用!$E$2:$E$601,0)),"")</f>
        <v/>
      </c>
      <c r="V231" s="11"/>
      <c r="W231" s="11"/>
      <c r="X231" s="11"/>
      <c r="Y231" s="11"/>
      <c r="Z231" s="11"/>
      <c r="AA231" s="11" t="str">
        <f>IF($AW231="","",IF(INDEX(教室申込!$J$1:$J$212,$AW231)="","",INDEX(教室申込!$J$1:$J$212,$AW231)))</f>
        <v/>
      </c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" t="str">
        <f>IF(AND(ROW()-1&lt;=教室申込!$K$5,教室申込!$K$7=0,COUNTA(教室申込!$C$4)=1),INDEX(展開用!$B$2:$B$601,MATCH(ROW()-1,展開用!$E$2:$E$601,0)),"")</f>
        <v/>
      </c>
      <c r="AX231" s="1"/>
      <c r="AY231" s="1"/>
    </row>
    <row r="232" spans="1:51" ht="24" customHeight="1">
      <c r="A232" s="11"/>
      <c r="B232" s="11"/>
      <c r="C232" s="11"/>
      <c r="D232" s="11"/>
      <c r="E232" s="11"/>
      <c r="F232" s="11"/>
      <c r="G232" s="11"/>
      <c r="H232" s="11" t="str">
        <f>IF(AND(ROW()-1&lt;=教室申込!$K$5,教室申込!$K$7=0,COUNTA(教室申込!$C$4)=1),INDEX(展開用!$C$2:$C$601,MATCH(ROW()-1,展開用!$E$2:$E$601,0)),"")</f>
        <v/>
      </c>
      <c r="I232" s="11" t="str">
        <f>IF(AND(ROW()-1&lt;=教室申込!$K$5,教室申込!$K$7=0,COUNTA(教室申込!$C$4)=1),INDEX(展開用!$D$2:$D$601,MATCH(ROW()-1,展開用!$E$2:$E$601,0)),"")</f>
        <v/>
      </c>
      <c r="J232" s="11"/>
      <c r="K232" s="11"/>
      <c r="L232" s="11" t="str">
        <f>IF(AND(ROW()-1&lt;=教室申込!$K$5,教室申込!$K$7=0,COUNTA(教室申込!$C$4)=1),INDEX(教室申込!$B$1:$B$212,$AW232),"")</f>
        <v/>
      </c>
      <c r="M232" s="11" t="str">
        <f>IF(AND(ROW()-1&lt;=教室申込!$K$5,教室申込!$K$7=0,COUNTA(教室申込!$C$4)=1),INDEX(教室申込!$C$1:$C$212,$AW232),"")</f>
        <v/>
      </c>
      <c r="N232" s="11"/>
      <c r="O232" s="12" t="str">
        <f>IF(AND(ROW()-1&lt;=教室申込!$K$5,教室申込!$K$7=0,COUNTA(教室申込!$C$4)=1),INDEX(展開用!$G$2:$G$601,MATCH(ROW()-1,展開用!$E$2:$E$601,0)),"")</f>
        <v/>
      </c>
      <c r="P232" s="11"/>
      <c r="Q232" s="11"/>
      <c r="R232" s="11"/>
      <c r="S232" s="11"/>
      <c r="T232" s="11"/>
      <c r="U232" s="11" t="str">
        <f>IF(AND(ROW()-1&lt;=教室申込!$K$5,教室申込!$K$7=0,COUNTA(教室申込!$C$4)=1),INDEX(展開用!$F$2:$F$601,MATCH(ROW()-1,展開用!$E$2:$E$601,0)),"")</f>
        <v/>
      </c>
      <c r="V232" s="11"/>
      <c r="W232" s="11"/>
      <c r="X232" s="11"/>
      <c r="Y232" s="11"/>
      <c r="Z232" s="11"/>
      <c r="AA232" s="11" t="str">
        <f>IF($AW232="","",IF(INDEX(教室申込!$J$1:$J$212,$AW232)="","",INDEX(教室申込!$J$1:$J$212,$AW232)))</f>
        <v/>
      </c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" t="str">
        <f>IF(AND(ROW()-1&lt;=教室申込!$K$5,教室申込!$K$7=0,COUNTA(教室申込!$C$4)=1),INDEX(展開用!$B$2:$B$601,MATCH(ROW()-1,展開用!$E$2:$E$601,0)),"")</f>
        <v/>
      </c>
      <c r="AX232" s="1"/>
      <c r="AY232" s="1"/>
    </row>
    <row r="233" spans="1:51" ht="24" customHeight="1">
      <c r="A233" s="11"/>
      <c r="B233" s="11"/>
      <c r="C233" s="11"/>
      <c r="D233" s="11"/>
      <c r="E233" s="11"/>
      <c r="F233" s="11"/>
      <c r="G233" s="11"/>
      <c r="H233" s="11" t="str">
        <f>IF(AND(ROW()-1&lt;=教室申込!$K$5,教室申込!$K$7=0,COUNTA(教室申込!$C$4)=1),INDEX(展開用!$C$2:$C$601,MATCH(ROW()-1,展開用!$E$2:$E$601,0)),"")</f>
        <v/>
      </c>
      <c r="I233" s="11" t="str">
        <f>IF(AND(ROW()-1&lt;=教室申込!$K$5,教室申込!$K$7=0,COUNTA(教室申込!$C$4)=1),INDEX(展開用!$D$2:$D$601,MATCH(ROW()-1,展開用!$E$2:$E$601,0)),"")</f>
        <v/>
      </c>
      <c r="J233" s="11"/>
      <c r="K233" s="11"/>
      <c r="L233" s="11" t="str">
        <f>IF(AND(ROW()-1&lt;=教室申込!$K$5,教室申込!$K$7=0,COUNTA(教室申込!$C$4)=1),INDEX(教室申込!$B$1:$B$212,$AW233),"")</f>
        <v/>
      </c>
      <c r="M233" s="11" t="str">
        <f>IF(AND(ROW()-1&lt;=教室申込!$K$5,教室申込!$K$7=0,COUNTA(教室申込!$C$4)=1),INDEX(教室申込!$C$1:$C$212,$AW233),"")</f>
        <v/>
      </c>
      <c r="N233" s="11"/>
      <c r="O233" s="12" t="str">
        <f>IF(AND(ROW()-1&lt;=教室申込!$K$5,教室申込!$K$7=0,COUNTA(教室申込!$C$4)=1),INDEX(展開用!$G$2:$G$601,MATCH(ROW()-1,展開用!$E$2:$E$601,0)),"")</f>
        <v/>
      </c>
      <c r="P233" s="11"/>
      <c r="Q233" s="11"/>
      <c r="R233" s="11"/>
      <c r="S233" s="11"/>
      <c r="T233" s="11"/>
      <c r="U233" s="11" t="str">
        <f>IF(AND(ROW()-1&lt;=教室申込!$K$5,教室申込!$K$7=0,COUNTA(教室申込!$C$4)=1),INDEX(展開用!$F$2:$F$601,MATCH(ROW()-1,展開用!$E$2:$E$601,0)),"")</f>
        <v/>
      </c>
      <c r="V233" s="11"/>
      <c r="W233" s="11"/>
      <c r="X233" s="11"/>
      <c r="Y233" s="11"/>
      <c r="Z233" s="11"/>
      <c r="AA233" s="11" t="str">
        <f>IF($AW233="","",IF(INDEX(教室申込!$J$1:$J$212,$AW233)="","",INDEX(教室申込!$J$1:$J$212,$AW233)))</f>
        <v/>
      </c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" t="str">
        <f>IF(AND(ROW()-1&lt;=教室申込!$K$5,教室申込!$K$7=0,COUNTA(教室申込!$C$4)=1),INDEX(展開用!$B$2:$B$601,MATCH(ROW()-1,展開用!$E$2:$E$601,0)),"")</f>
        <v/>
      </c>
      <c r="AX233" s="1"/>
      <c r="AY233" s="1"/>
    </row>
    <row r="234" spans="1:51" ht="24" customHeight="1">
      <c r="A234" s="11"/>
      <c r="B234" s="11"/>
      <c r="C234" s="11"/>
      <c r="D234" s="11"/>
      <c r="E234" s="11"/>
      <c r="F234" s="11"/>
      <c r="G234" s="11"/>
      <c r="H234" s="11" t="str">
        <f>IF(AND(ROW()-1&lt;=教室申込!$K$5,教室申込!$K$7=0,COUNTA(教室申込!$C$4)=1),INDEX(展開用!$C$2:$C$601,MATCH(ROW()-1,展開用!$E$2:$E$601,0)),"")</f>
        <v/>
      </c>
      <c r="I234" s="11" t="str">
        <f>IF(AND(ROW()-1&lt;=教室申込!$K$5,教室申込!$K$7=0,COUNTA(教室申込!$C$4)=1),INDEX(展開用!$D$2:$D$601,MATCH(ROW()-1,展開用!$E$2:$E$601,0)),"")</f>
        <v/>
      </c>
      <c r="J234" s="11"/>
      <c r="K234" s="11"/>
      <c r="L234" s="11" t="str">
        <f>IF(AND(ROW()-1&lt;=教室申込!$K$5,教室申込!$K$7=0,COUNTA(教室申込!$C$4)=1),INDEX(教室申込!$B$1:$B$212,$AW234),"")</f>
        <v/>
      </c>
      <c r="M234" s="11" t="str">
        <f>IF(AND(ROW()-1&lt;=教室申込!$K$5,教室申込!$K$7=0,COUNTA(教室申込!$C$4)=1),INDEX(教室申込!$C$1:$C$212,$AW234),"")</f>
        <v/>
      </c>
      <c r="N234" s="11"/>
      <c r="O234" s="12" t="str">
        <f>IF(AND(ROW()-1&lt;=教室申込!$K$5,教室申込!$K$7=0,COUNTA(教室申込!$C$4)=1),INDEX(展開用!$G$2:$G$601,MATCH(ROW()-1,展開用!$E$2:$E$601,0)),"")</f>
        <v/>
      </c>
      <c r="P234" s="11"/>
      <c r="Q234" s="11"/>
      <c r="R234" s="11"/>
      <c r="S234" s="11"/>
      <c r="T234" s="11"/>
      <c r="U234" s="11" t="str">
        <f>IF(AND(ROW()-1&lt;=教室申込!$K$5,教室申込!$K$7=0,COUNTA(教室申込!$C$4)=1),INDEX(展開用!$F$2:$F$601,MATCH(ROW()-1,展開用!$E$2:$E$601,0)),"")</f>
        <v/>
      </c>
      <c r="V234" s="11"/>
      <c r="W234" s="11"/>
      <c r="X234" s="11"/>
      <c r="Y234" s="11"/>
      <c r="Z234" s="11"/>
      <c r="AA234" s="11" t="str">
        <f>IF($AW234="","",IF(INDEX(教室申込!$J$1:$J$212,$AW234)="","",INDEX(教室申込!$J$1:$J$212,$AW234)))</f>
        <v/>
      </c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" t="str">
        <f>IF(AND(ROW()-1&lt;=教室申込!$K$5,教室申込!$K$7=0,COUNTA(教室申込!$C$4)=1),INDEX(展開用!$B$2:$B$601,MATCH(ROW()-1,展開用!$E$2:$E$601,0)),"")</f>
        <v/>
      </c>
      <c r="AX234" s="1"/>
      <c r="AY234" s="1"/>
    </row>
    <row r="235" spans="1:51" ht="24" customHeight="1">
      <c r="A235" s="11"/>
      <c r="B235" s="11"/>
      <c r="C235" s="11"/>
      <c r="D235" s="11"/>
      <c r="E235" s="11"/>
      <c r="F235" s="11"/>
      <c r="G235" s="11"/>
      <c r="H235" s="11" t="str">
        <f>IF(AND(ROW()-1&lt;=教室申込!$K$5,教室申込!$K$7=0,COUNTA(教室申込!$C$4)=1),INDEX(展開用!$C$2:$C$601,MATCH(ROW()-1,展開用!$E$2:$E$601,0)),"")</f>
        <v/>
      </c>
      <c r="I235" s="11" t="str">
        <f>IF(AND(ROW()-1&lt;=教室申込!$K$5,教室申込!$K$7=0,COUNTA(教室申込!$C$4)=1),INDEX(展開用!$D$2:$D$601,MATCH(ROW()-1,展開用!$E$2:$E$601,0)),"")</f>
        <v/>
      </c>
      <c r="J235" s="11"/>
      <c r="K235" s="11"/>
      <c r="L235" s="11" t="str">
        <f>IF(AND(ROW()-1&lt;=教室申込!$K$5,教室申込!$K$7=0,COUNTA(教室申込!$C$4)=1),INDEX(教室申込!$B$1:$B$212,$AW235),"")</f>
        <v/>
      </c>
      <c r="M235" s="11" t="str">
        <f>IF(AND(ROW()-1&lt;=教室申込!$K$5,教室申込!$K$7=0,COUNTA(教室申込!$C$4)=1),INDEX(教室申込!$C$1:$C$212,$AW235),"")</f>
        <v/>
      </c>
      <c r="N235" s="11"/>
      <c r="O235" s="12" t="str">
        <f>IF(AND(ROW()-1&lt;=教室申込!$K$5,教室申込!$K$7=0,COUNTA(教室申込!$C$4)=1),INDEX(展開用!$G$2:$G$601,MATCH(ROW()-1,展開用!$E$2:$E$601,0)),"")</f>
        <v/>
      </c>
      <c r="P235" s="11"/>
      <c r="Q235" s="11"/>
      <c r="R235" s="11"/>
      <c r="S235" s="11"/>
      <c r="T235" s="11"/>
      <c r="U235" s="11" t="str">
        <f>IF(AND(ROW()-1&lt;=教室申込!$K$5,教室申込!$K$7=0,COUNTA(教室申込!$C$4)=1),INDEX(展開用!$F$2:$F$601,MATCH(ROW()-1,展開用!$E$2:$E$601,0)),"")</f>
        <v/>
      </c>
      <c r="V235" s="11"/>
      <c r="W235" s="11"/>
      <c r="X235" s="11"/>
      <c r="Y235" s="11"/>
      <c r="Z235" s="11"/>
      <c r="AA235" s="11" t="str">
        <f>IF($AW235="","",IF(INDEX(教室申込!$J$1:$J$212,$AW235)="","",INDEX(教室申込!$J$1:$J$212,$AW235)))</f>
        <v/>
      </c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" t="str">
        <f>IF(AND(ROW()-1&lt;=教室申込!$K$5,教室申込!$K$7=0,COUNTA(教室申込!$C$4)=1),INDEX(展開用!$B$2:$B$601,MATCH(ROW()-1,展開用!$E$2:$E$601,0)),"")</f>
        <v/>
      </c>
      <c r="AX235" s="1"/>
      <c r="AY235" s="1"/>
    </row>
    <row r="236" spans="1:51" ht="24" customHeight="1">
      <c r="A236" s="11"/>
      <c r="B236" s="11"/>
      <c r="C236" s="11"/>
      <c r="D236" s="11"/>
      <c r="E236" s="11"/>
      <c r="F236" s="11"/>
      <c r="G236" s="11"/>
      <c r="H236" s="11" t="str">
        <f>IF(AND(ROW()-1&lt;=教室申込!$K$5,教室申込!$K$7=0,COUNTA(教室申込!$C$4)=1),INDEX(展開用!$C$2:$C$601,MATCH(ROW()-1,展開用!$E$2:$E$601,0)),"")</f>
        <v/>
      </c>
      <c r="I236" s="11" t="str">
        <f>IF(AND(ROW()-1&lt;=教室申込!$K$5,教室申込!$K$7=0,COUNTA(教室申込!$C$4)=1),INDEX(展開用!$D$2:$D$601,MATCH(ROW()-1,展開用!$E$2:$E$601,0)),"")</f>
        <v/>
      </c>
      <c r="J236" s="11"/>
      <c r="K236" s="11"/>
      <c r="L236" s="11" t="str">
        <f>IF(AND(ROW()-1&lt;=教室申込!$K$5,教室申込!$K$7=0,COUNTA(教室申込!$C$4)=1),INDEX(教室申込!$B$1:$B$212,$AW236),"")</f>
        <v/>
      </c>
      <c r="M236" s="11" t="str">
        <f>IF(AND(ROW()-1&lt;=教室申込!$K$5,教室申込!$K$7=0,COUNTA(教室申込!$C$4)=1),INDEX(教室申込!$C$1:$C$212,$AW236),"")</f>
        <v/>
      </c>
      <c r="N236" s="11"/>
      <c r="O236" s="12" t="str">
        <f>IF(AND(ROW()-1&lt;=教室申込!$K$5,教室申込!$K$7=0,COUNTA(教室申込!$C$4)=1),INDEX(展開用!$G$2:$G$601,MATCH(ROW()-1,展開用!$E$2:$E$601,0)),"")</f>
        <v/>
      </c>
      <c r="P236" s="11"/>
      <c r="Q236" s="11"/>
      <c r="R236" s="11"/>
      <c r="S236" s="11"/>
      <c r="T236" s="11"/>
      <c r="U236" s="11" t="str">
        <f>IF(AND(ROW()-1&lt;=教室申込!$K$5,教室申込!$K$7=0,COUNTA(教室申込!$C$4)=1),INDEX(展開用!$F$2:$F$601,MATCH(ROW()-1,展開用!$E$2:$E$601,0)),"")</f>
        <v/>
      </c>
      <c r="V236" s="11"/>
      <c r="W236" s="11"/>
      <c r="X236" s="11"/>
      <c r="Y236" s="11"/>
      <c r="Z236" s="11"/>
      <c r="AA236" s="11" t="str">
        <f>IF($AW236="","",IF(INDEX(教室申込!$J$1:$J$212,$AW236)="","",INDEX(教室申込!$J$1:$J$212,$AW236)))</f>
        <v/>
      </c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" t="str">
        <f>IF(AND(ROW()-1&lt;=教室申込!$K$5,教室申込!$K$7=0,COUNTA(教室申込!$C$4)=1),INDEX(展開用!$B$2:$B$601,MATCH(ROW()-1,展開用!$E$2:$E$601,0)),"")</f>
        <v/>
      </c>
      <c r="AX236" s="1"/>
      <c r="AY236" s="1"/>
    </row>
    <row r="237" spans="1:51" ht="24" customHeight="1">
      <c r="A237" s="11"/>
      <c r="B237" s="11"/>
      <c r="C237" s="11"/>
      <c r="D237" s="11"/>
      <c r="E237" s="11"/>
      <c r="F237" s="11"/>
      <c r="G237" s="11"/>
      <c r="H237" s="11" t="str">
        <f>IF(AND(ROW()-1&lt;=教室申込!$K$5,教室申込!$K$7=0,COUNTA(教室申込!$C$4)=1),INDEX(展開用!$C$2:$C$601,MATCH(ROW()-1,展開用!$E$2:$E$601,0)),"")</f>
        <v/>
      </c>
      <c r="I237" s="11" t="str">
        <f>IF(AND(ROW()-1&lt;=教室申込!$K$5,教室申込!$K$7=0,COUNTA(教室申込!$C$4)=1),INDEX(展開用!$D$2:$D$601,MATCH(ROW()-1,展開用!$E$2:$E$601,0)),"")</f>
        <v/>
      </c>
      <c r="J237" s="11"/>
      <c r="K237" s="11"/>
      <c r="L237" s="11" t="str">
        <f>IF(AND(ROW()-1&lt;=教室申込!$K$5,教室申込!$K$7=0,COUNTA(教室申込!$C$4)=1),INDEX(教室申込!$B$1:$B$212,$AW237),"")</f>
        <v/>
      </c>
      <c r="M237" s="11" t="str">
        <f>IF(AND(ROW()-1&lt;=教室申込!$K$5,教室申込!$K$7=0,COUNTA(教室申込!$C$4)=1),INDEX(教室申込!$C$1:$C$212,$AW237),"")</f>
        <v/>
      </c>
      <c r="N237" s="11"/>
      <c r="O237" s="12" t="str">
        <f>IF(AND(ROW()-1&lt;=教室申込!$K$5,教室申込!$K$7=0,COUNTA(教室申込!$C$4)=1),INDEX(展開用!$G$2:$G$601,MATCH(ROW()-1,展開用!$E$2:$E$601,0)),"")</f>
        <v/>
      </c>
      <c r="P237" s="11"/>
      <c r="Q237" s="11"/>
      <c r="R237" s="11"/>
      <c r="S237" s="11"/>
      <c r="T237" s="11"/>
      <c r="U237" s="11" t="str">
        <f>IF(AND(ROW()-1&lt;=教室申込!$K$5,教室申込!$K$7=0,COUNTA(教室申込!$C$4)=1),INDEX(展開用!$F$2:$F$601,MATCH(ROW()-1,展開用!$E$2:$E$601,0)),"")</f>
        <v/>
      </c>
      <c r="V237" s="11"/>
      <c r="W237" s="11"/>
      <c r="X237" s="11"/>
      <c r="Y237" s="11"/>
      <c r="Z237" s="11"/>
      <c r="AA237" s="11" t="str">
        <f>IF($AW237="","",IF(INDEX(教室申込!$J$1:$J$212,$AW237)="","",INDEX(教室申込!$J$1:$J$212,$AW237)))</f>
        <v/>
      </c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" t="str">
        <f>IF(AND(ROW()-1&lt;=教室申込!$K$5,教室申込!$K$7=0,COUNTA(教室申込!$C$4)=1),INDEX(展開用!$B$2:$B$601,MATCH(ROW()-1,展開用!$E$2:$E$601,0)),"")</f>
        <v/>
      </c>
      <c r="AX237" s="1"/>
      <c r="AY237" s="1"/>
    </row>
    <row r="238" spans="1:51" ht="24" customHeight="1">
      <c r="A238" s="11"/>
      <c r="B238" s="11"/>
      <c r="C238" s="11"/>
      <c r="D238" s="11"/>
      <c r="E238" s="11"/>
      <c r="F238" s="11"/>
      <c r="G238" s="11"/>
      <c r="H238" s="11" t="str">
        <f>IF(AND(ROW()-1&lt;=教室申込!$K$5,教室申込!$K$7=0,COUNTA(教室申込!$C$4)=1),INDEX(展開用!$C$2:$C$601,MATCH(ROW()-1,展開用!$E$2:$E$601,0)),"")</f>
        <v/>
      </c>
      <c r="I238" s="11" t="str">
        <f>IF(AND(ROW()-1&lt;=教室申込!$K$5,教室申込!$K$7=0,COUNTA(教室申込!$C$4)=1),INDEX(展開用!$D$2:$D$601,MATCH(ROW()-1,展開用!$E$2:$E$601,0)),"")</f>
        <v/>
      </c>
      <c r="J238" s="11"/>
      <c r="K238" s="11"/>
      <c r="L238" s="11" t="str">
        <f>IF(AND(ROW()-1&lt;=教室申込!$K$5,教室申込!$K$7=0,COUNTA(教室申込!$C$4)=1),INDEX(教室申込!$B$1:$B$212,$AW238),"")</f>
        <v/>
      </c>
      <c r="M238" s="11" t="str">
        <f>IF(AND(ROW()-1&lt;=教室申込!$K$5,教室申込!$K$7=0,COUNTA(教室申込!$C$4)=1),INDEX(教室申込!$C$1:$C$212,$AW238),"")</f>
        <v/>
      </c>
      <c r="N238" s="11"/>
      <c r="O238" s="12" t="str">
        <f>IF(AND(ROW()-1&lt;=教室申込!$K$5,教室申込!$K$7=0,COUNTA(教室申込!$C$4)=1),INDEX(展開用!$G$2:$G$601,MATCH(ROW()-1,展開用!$E$2:$E$601,0)),"")</f>
        <v/>
      </c>
      <c r="P238" s="11"/>
      <c r="Q238" s="11"/>
      <c r="R238" s="11"/>
      <c r="S238" s="11"/>
      <c r="T238" s="11"/>
      <c r="U238" s="11" t="str">
        <f>IF(AND(ROW()-1&lt;=教室申込!$K$5,教室申込!$K$7=0,COUNTA(教室申込!$C$4)=1),INDEX(展開用!$F$2:$F$601,MATCH(ROW()-1,展開用!$E$2:$E$601,0)),"")</f>
        <v/>
      </c>
      <c r="V238" s="11"/>
      <c r="W238" s="11"/>
      <c r="X238" s="11"/>
      <c r="Y238" s="11"/>
      <c r="Z238" s="11"/>
      <c r="AA238" s="11" t="str">
        <f>IF($AW238="","",IF(INDEX(教室申込!$J$1:$J$212,$AW238)="","",INDEX(教室申込!$J$1:$J$212,$AW238)))</f>
        <v/>
      </c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" t="str">
        <f>IF(AND(ROW()-1&lt;=教室申込!$K$5,教室申込!$K$7=0,COUNTA(教室申込!$C$4)=1),INDEX(展開用!$B$2:$B$601,MATCH(ROW()-1,展開用!$E$2:$E$601,0)),"")</f>
        <v/>
      </c>
      <c r="AX238" s="1"/>
      <c r="AY238" s="1"/>
    </row>
    <row r="239" spans="1:51" ht="24" customHeight="1">
      <c r="A239" s="11"/>
      <c r="B239" s="11"/>
      <c r="C239" s="11"/>
      <c r="D239" s="11"/>
      <c r="E239" s="11"/>
      <c r="F239" s="11"/>
      <c r="G239" s="11"/>
      <c r="H239" s="11" t="str">
        <f>IF(AND(ROW()-1&lt;=教室申込!$K$5,教室申込!$K$7=0,COUNTA(教室申込!$C$4)=1),INDEX(展開用!$C$2:$C$601,MATCH(ROW()-1,展開用!$E$2:$E$601,0)),"")</f>
        <v/>
      </c>
      <c r="I239" s="11" t="str">
        <f>IF(AND(ROW()-1&lt;=教室申込!$K$5,教室申込!$K$7=0,COUNTA(教室申込!$C$4)=1),INDEX(展開用!$D$2:$D$601,MATCH(ROW()-1,展開用!$E$2:$E$601,0)),"")</f>
        <v/>
      </c>
      <c r="J239" s="11"/>
      <c r="K239" s="11"/>
      <c r="L239" s="11" t="str">
        <f>IF(AND(ROW()-1&lt;=教室申込!$K$5,教室申込!$K$7=0,COUNTA(教室申込!$C$4)=1),INDEX(教室申込!$B$1:$B$212,$AW239),"")</f>
        <v/>
      </c>
      <c r="M239" s="11" t="str">
        <f>IF(AND(ROW()-1&lt;=教室申込!$K$5,教室申込!$K$7=0,COUNTA(教室申込!$C$4)=1),INDEX(教室申込!$C$1:$C$212,$AW239),"")</f>
        <v/>
      </c>
      <c r="N239" s="11"/>
      <c r="O239" s="12" t="str">
        <f>IF(AND(ROW()-1&lt;=教室申込!$K$5,教室申込!$K$7=0,COUNTA(教室申込!$C$4)=1),INDEX(展開用!$G$2:$G$601,MATCH(ROW()-1,展開用!$E$2:$E$601,0)),"")</f>
        <v/>
      </c>
      <c r="P239" s="11"/>
      <c r="Q239" s="11"/>
      <c r="R239" s="11"/>
      <c r="S239" s="11"/>
      <c r="T239" s="11"/>
      <c r="U239" s="11" t="str">
        <f>IF(AND(ROW()-1&lt;=教室申込!$K$5,教室申込!$K$7=0,COUNTA(教室申込!$C$4)=1),INDEX(展開用!$F$2:$F$601,MATCH(ROW()-1,展開用!$E$2:$E$601,0)),"")</f>
        <v/>
      </c>
      <c r="V239" s="11"/>
      <c r="W239" s="11"/>
      <c r="X239" s="11"/>
      <c r="Y239" s="11"/>
      <c r="Z239" s="11"/>
      <c r="AA239" s="11" t="str">
        <f>IF($AW239="","",IF(INDEX(教室申込!$J$1:$J$212,$AW239)="","",INDEX(教室申込!$J$1:$J$212,$AW239)))</f>
        <v/>
      </c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" t="str">
        <f>IF(AND(ROW()-1&lt;=教室申込!$K$5,教室申込!$K$7=0,COUNTA(教室申込!$C$4)=1),INDEX(展開用!$B$2:$B$601,MATCH(ROW()-1,展開用!$E$2:$E$601,0)),"")</f>
        <v/>
      </c>
      <c r="AX239" s="1"/>
      <c r="AY239" s="1"/>
    </row>
    <row r="240" spans="1:51" ht="24" customHeight="1">
      <c r="A240" s="11"/>
      <c r="B240" s="11"/>
      <c r="C240" s="11"/>
      <c r="D240" s="11"/>
      <c r="E240" s="11"/>
      <c r="F240" s="11"/>
      <c r="G240" s="11"/>
      <c r="H240" s="11" t="str">
        <f>IF(AND(ROW()-1&lt;=教室申込!$K$5,教室申込!$K$7=0,COUNTA(教室申込!$C$4)=1),INDEX(展開用!$C$2:$C$601,MATCH(ROW()-1,展開用!$E$2:$E$601,0)),"")</f>
        <v/>
      </c>
      <c r="I240" s="11" t="str">
        <f>IF(AND(ROW()-1&lt;=教室申込!$K$5,教室申込!$K$7=0,COUNTA(教室申込!$C$4)=1),INDEX(展開用!$D$2:$D$601,MATCH(ROW()-1,展開用!$E$2:$E$601,0)),"")</f>
        <v/>
      </c>
      <c r="J240" s="11"/>
      <c r="K240" s="11"/>
      <c r="L240" s="11" t="str">
        <f>IF(AND(ROW()-1&lt;=教室申込!$K$5,教室申込!$K$7=0,COUNTA(教室申込!$C$4)=1),INDEX(教室申込!$B$1:$B$212,$AW240),"")</f>
        <v/>
      </c>
      <c r="M240" s="11" t="str">
        <f>IF(AND(ROW()-1&lt;=教室申込!$K$5,教室申込!$K$7=0,COUNTA(教室申込!$C$4)=1),INDEX(教室申込!$C$1:$C$212,$AW240),"")</f>
        <v/>
      </c>
      <c r="N240" s="11"/>
      <c r="O240" s="12" t="str">
        <f>IF(AND(ROW()-1&lt;=教室申込!$K$5,教室申込!$K$7=0,COUNTA(教室申込!$C$4)=1),INDEX(展開用!$G$2:$G$601,MATCH(ROW()-1,展開用!$E$2:$E$601,0)),"")</f>
        <v/>
      </c>
      <c r="P240" s="11"/>
      <c r="Q240" s="11"/>
      <c r="R240" s="11"/>
      <c r="S240" s="11"/>
      <c r="T240" s="11"/>
      <c r="U240" s="11" t="str">
        <f>IF(AND(ROW()-1&lt;=教室申込!$K$5,教室申込!$K$7=0,COUNTA(教室申込!$C$4)=1),INDEX(展開用!$F$2:$F$601,MATCH(ROW()-1,展開用!$E$2:$E$601,0)),"")</f>
        <v/>
      </c>
      <c r="V240" s="11"/>
      <c r="W240" s="11"/>
      <c r="X240" s="11"/>
      <c r="Y240" s="11"/>
      <c r="Z240" s="11"/>
      <c r="AA240" s="11" t="str">
        <f>IF($AW240="","",IF(INDEX(教室申込!$J$1:$J$212,$AW240)="","",INDEX(教室申込!$J$1:$J$212,$AW240)))</f>
        <v/>
      </c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" t="str">
        <f>IF(AND(ROW()-1&lt;=教室申込!$K$5,教室申込!$K$7=0,COUNTA(教室申込!$C$4)=1),INDEX(展開用!$B$2:$B$601,MATCH(ROW()-1,展開用!$E$2:$E$601,0)),"")</f>
        <v/>
      </c>
      <c r="AX240" s="1"/>
      <c r="AY240" s="1"/>
    </row>
    <row r="241" spans="1:51" ht="24" customHeight="1">
      <c r="A241" s="11"/>
      <c r="B241" s="11"/>
      <c r="C241" s="11"/>
      <c r="D241" s="11"/>
      <c r="E241" s="11"/>
      <c r="F241" s="11"/>
      <c r="G241" s="11"/>
      <c r="H241" s="11" t="str">
        <f>IF(AND(ROW()-1&lt;=教室申込!$K$5,教室申込!$K$7=0,COUNTA(教室申込!$C$4)=1),INDEX(展開用!$C$2:$C$601,MATCH(ROW()-1,展開用!$E$2:$E$601,0)),"")</f>
        <v/>
      </c>
      <c r="I241" s="11" t="str">
        <f>IF(AND(ROW()-1&lt;=教室申込!$K$5,教室申込!$K$7=0,COUNTA(教室申込!$C$4)=1),INDEX(展開用!$D$2:$D$601,MATCH(ROW()-1,展開用!$E$2:$E$601,0)),"")</f>
        <v/>
      </c>
      <c r="J241" s="11"/>
      <c r="K241" s="11"/>
      <c r="L241" s="11" t="str">
        <f>IF(AND(ROW()-1&lt;=教室申込!$K$5,教室申込!$K$7=0,COUNTA(教室申込!$C$4)=1),INDEX(教室申込!$B$1:$B$212,$AW241),"")</f>
        <v/>
      </c>
      <c r="M241" s="11" t="str">
        <f>IF(AND(ROW()-1&lt;=教室申込!$K$5,教室申込!$K$7=0,COUNTA(教室申込!$C$4)=1),INDEX(教室申込!$C$1:$C$212,$AW241),"")</f>
        <v/>
      </c>
      <c r="N241" s="11"/>
      <c r="O241" s="12" t="str">
        <f>IF(AND(ROW()-1&lt;=教室申込!$K$5,教室申込!$K$7=0,COUNTA(教室申込!$C$4)=1),INDEX(展開用!$G$2:$G$601,MATCH(ROW()-1,展開用!$E$2:$E$601,0)),"")</f>
        <v/>
      </c>
      <c r="P241" s="11"/>
      <c r="Q241" s="11"/>
      <c r="R241" s="11"/>
      <c r="S241" s="11"/>
      <c r="T241" s="11"/>
      <c r="U241" s="11" t="str">
        <f>IF(AND(ROW()-1&lt;=教室申込!$K$5,教室申込!$K$7=0,COUNTA(教室申込!$C$4)=1),INDEX(展開用!$F$2:$F$601,MATCH(ROW()-1,展開用!$E$2:$E$601,0)),"")</f>
        <v/>
      </c>
      <c r="V241" s="11"/>
      <c r="W241" s="11"/>
      <c r="X241" s="11"/>
      <c r="Y241" s="11"/>
      <c r="Z241" s="11"/>
      <c r="AA241" s="11" t="str">
        <f>IF($AW241="","",IF(INDEX(教室申込!$J$1:$J$212,$AW241)="","",INDEX(教室申込!$J$1:$J$212,$AW241)))</f>
        <v/>
      </c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" t="str">
        <f>IF(AND(ROW()-1&lt;=教室申込!$K$5,教室申込!$K$7=0,COUNTA(教室申込!$C$4)=1),INDEX(展開用!$B$2:$B$601,MATCH(ROW()-1,展開用!$E$2:$E$601,0)),"")</f>
        <v/>
      </c>
      <c r="AX241" s="1"/>
      <c r="AY241" s="1"/>
    </row>
    <row r="242" spans="1:51" ht="24" customHeight="1">
      <c r="A242" s="11"/>
      <c r="B242" s="11"/>
      <c r="C242" s="11"/>
      <c r="D242" s="11"/>
      <c r="E242" s="11"/>
      <c r="F242" s="11"/>
      <c r="G242" s="11"/>
      <c r="H242" s="11" t="str">
        <f>IF(AND(ROW()-1&lt;=教室申込!$K$5,教室申込!$K$7=0,COUNTA(教室申込!$C$4)=1),INDEX(展開用!$C$2:$C$601,MATCH(ROW()-1,展開用!$E$2:$E$601,0)),"")</f>
        <v/>
      </c>
      <c r="I242" s="11" t="str">
        <f>IF(AND(ROW()-1&lt;=教室申込!$K$5,教室申込!$K$7=0,COUNTA(教室申込!$C$4)=1),INDEX(展開用!$D$2:$D$601,MATCH(ROW()-1,展開用!$E$2:$E$601,0)),"")</f>
        <v/>
      </c>
      <c r="J242" s="11"/>
      <c r="K242" s="11"/>
      <c r="L242" s="11" t="str">
        <f>IF(AND(ROW()-1&lt;=教室申込!$K$5,教室申込!$K$7=0,COUNTA(教室申込!$C$4)=1),INDEX(教室申込!$B$1:$B$212,$AW242),"")</f>
        <v/>
      </c>
      <c r="M242" s="11" t="str">
        <f>IF(AND(ROW()-1&lt;=教室申込!$K$5,教室申込!$K$7=0,COUNTA(教室申込!$C$4)=1),INDEX(教室申込!$C$1:$C$212,$AW242),"")</f>
        <v/>
      </c>
      <c r="N242" s="11"/>
      <c r="O242" s="12" t="str">
        <f>IF(AND(ROW()-1&lt;=教室申込!$K$5,教室申込!$K$7=0,COUNTA(教室申込!$C$4)=1),INDEX(展開用!$G$2:$G$601,MATCH(ROW()-1,展開用!$E$2:$E$601,0)),"")</f>
        <v/>
      </c>
      <c r="P242" s="11"/>
      <c r="Q242" s="11"/>
      <c r="R242" s="11"/>
      <c r="S242" s="11"/>
      <c r="T242" s="11"/>
      <c r="U242" s="11" t="str">
        <f>IF(AND(ROW()-1&lt;=教室申込!$K$5,教室申込!$K$7=0,COUNTA(教室申込!$C$4)=1),INDEX(展開用!$F$2:$F$601,MATCH(ROW()-1,展開用!$E$2:$E$601,0)),"")</f>
        <v/>
      </c>
      <c r="V242" s="11"/>
      <c r="W242" s="11"/>
      <c r="X242" s="11"/>
      <c r="Y242" s="11"/>
      <c r="Z242" s="11"/>
      <c r="AA242" s="11" t="str">
        <f>IF($AW242="","",IF(INDEX(教室申込!$J$1:$J$212,$AW242)="","",INDEX(教室申込!$J$1:$J$212,$AW242)))</f>
        <v/>
      </c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" t="str">
        <f>IF(AND(ROW()-1&lt;=教室申込!$K$5,教室申込!$K$7=0,COUNTA(教室申込!$C$4)=1),INDEX(展開用!$B$2:$B$601,MATCH(ROW()-1,展開用!$E$2:$E$601,0)),"")</f>
        <v/>
      </c>
      <c r="AX242" s="1"/>
      <c r="AY242" s="1"/>
    </row>
    <row r="243" spans="1:51" ht="24" customHeight="1">
      <c r="A243" s="11"/>
      <c r="B243" s="11"/>
      <c r="C243" s="11"/>
      <c r="D243" s="11"/>
      <c r="E243" s="11"/>
      <c r="F243" s="11"/>
      <c r="G243" s="11"/>
      <c r="H243" s="11" t="str">
        <f>IF(AND(ROW()-1&lt;=教室申込!$K$5,教室申込!$K$7=0,COUNTA(教室申込!$C$4)=1),INDEX(展開用!$C$2:$C$601,MATCH(ROW()-1,展開用!$E$2:$E$601,0)),"")</f>
        <v/>
      </c>
      <c r="I243" s="11" t="str">
        <f>IF(AND(ROW()-1&lt;=教室申込!$K$5,教室申込!$K$7=0,COUNTA(教室申込!$C$4)=1),INDEX(展開用!$D$2:$D$601,MATCH(ROW()-1,展開用!$E$2:$E$601,0)),"")</f>
        <v/>
      </c>
      <c r="J243" s="11"/>
      <c r="K243" s="11"/>
      <c r="L243" s="11" t="str">
        <f>IF(AND(ROW()-1&lt;=教室申込!$K$5,教室申込!$K$7=0,COUNTA(教室申込!$C$4)=1),INDEX(教室申込!$B$1:$B$212,$AW243),"")</f>
        <v/>
      </c>
      <c r="M243" s="11" t="str">
        <f>IF(AND(ROW()-1&lt;=教室申込!$K$5,教室申込!$K$7=0,COUNTA(教室申込!$C$4)=1),INDEX(教室申込!$C$1:$C$212,$AW243),"")</f>
        <v/>
      </c>
      <c r="N243" s="11"/>
      <c r="O243" s="12" t="str">
        <f>IF(AND(ROW()-1&lt;=教室申込!$K$5,教室申込!$K$7=0,COUNTA(教室申込!$C$4)=1),INDEX(展開用!$G$2:$G$601,MATCH(ROW()-1,展開用!$E$2:$E$601,0)),"")</f>
        <v/>
      </c>
      <c r="P243" s="11"/>
      <c r="Q243" s="11"/>
      <c r="R243" s="11"/>
      <c r="S243" s="11"/>
      <c r="T243" s="11"/>
      <c r="U243" s="11" t="str">
        <f>IF(AND(ROW()-1&lt;=教室申込!$K$5,教室申込!$K$7=0,COUNTA(教室申込!$C$4)=1),INDEX(展開用!$F$2:$F$601,MATCH(ROW()-1,展開用!$E$2:$E$601,0)),"")</f>
        <v/>
      </c>
      <c r="V243" s="11"/>
      <c r="W243" s="11"/>
      <c r="X243" s="11"/>
      <c r="Y243" s="11"/>
      <c r="Z243" s="11"/>
      <c r="AA243" s="11" t="str">
        <f>IF($AW243="","",IF(INDEX(教室申込!$J$1:$J$212,$AW243)="","",INDEX(教室申込!$J$1:$J$212,$AW243)))</f>
        <v/>
      </c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" t="str">
        <f>IF(AND(ROW()-1&lt;=教室申込!$K$5,教室申込!$K$7=0,COUNTA(教室申込!$C$4)=1),INDEX(展開用!$B$2:$B$601,MATCH(ROW()-1,展開用!$E$2:$E$601,0)),"")</f>
        <v/>
      </c>
      <c r="AX243" s="1"/>
      <c r="AY243" s="1"/>
    </row>
    <row r="244" spans="1:51" ht="24" customHeight="1">
      <c r="A244" s="11"/>
      <c r="B244" s="11"/>
      <c r="C244" s="11"/>
      <c r="D244" s="11"/>
      <c r="E244" s="11"/>
      <c r="F244" s="11"/>
      <c r="G244" s="11"/>
      <c r="H244" s="11" t="str">
        <f>IF(AND(ROW()-1&lt;=教室申込!$K$5,教室申込!$K$7=0,COUNTA(教室申込!$C$4)=1),INDEX(展開用!$C$2:$C$601,MATCH(ROW()-1,展開用!$E$2:$E$601,0)),"")</f>
        <v/>
      </c>
      <c r="I244" s="11" t="str">
        <f>IF(AND(ROW()-1&lt;=教室申込!$K$5,教室申込!$K$7=0,COUNTA(教室申込!$C$4)=1),INDEX(展開用!$D$2:$D$601,MATCH(ROW()-1,展開用!$E$2:$E$601,0)),"")</f>
        <v/>
      </c>
      <c r="J244" s="11"/>
      <c r="K244" s="11"/>
      <c r="L244" s="11" t="str">
        <f>IF(AND(ROW()-1&lt;=教室申込!$K$5,教室申込!$K$7=0,COUNTA(教室申込!$C$4)=1),INDEX(教室申込!$B$1:$B$212,$AW244),"")</f>
        <v/>
      </c>
      <c r="M244" s="11" t="str">
        <f>IF(AND(ROW()-1&lt;=教室申込!$K$5,教室申込!$K$7=0,COUNTA(教室申込!$C$4)=1),INDEX(教室申込!$C$1:$C$212,$AW244),"")</f>
        <v/>
      </c>
      <c r="N244" s="11"/>
      <c r="O244" s="12" t="str">
        <f>IF(AND(ROW()-1&lt;=教室申込!$K$5,教室申込!$K$7=0,COUNTA(教室申込!$C$4)=1),INDEX(展開用!$G$2:$G$601,MATCH(ROW()-1,展開用!$E$2:$E$601,0)),"")</f>
        <v/>
      </c>
      <c r="P244" s="11"/>
      <c r="Q244" s="11"/>
      <c r="R244" s="11"/>
      <c r="S244" s="11"/>
      <c r="T244" s="11"/>
      <c r="U244" s="11" t="str">
        <f>IF(AND(ROW()-1&lt;=教室申込!$K$5,教室申込!$K$7=0,COUNTA(教室申込!$C$4)=1),INDEX(展開用!$F$2:$F$601,MATCH(ROW()-1,展開用!$E$2:$E$601,0)),"")</f>
        <v/>
      </c>
      <c r="V244" s="11"/>
      <c r="W244" s="11"/>
      <c r="X244" s="11"/>
      <c r="Y244" s="11"/>
      <c r="Z244" s="11"/>
      <c r="AA244" s="11" t="str">
        <f>IF($AW244="","",IF(INDEX(教室申込!$J$1:$J$212,$AW244)="","",INDEX(教室申込!$J$1:$J$212,$AW244)))</f>
        <v/>
      </c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" t="str">
        <f>IF(AND(ROW()-1&lt;=教室申込!$K$5,教室申込!$K$7=0,COUNTA(教室申込!$C$4)=1),INDEX(展開用!$B$2:$B$601,MATCH(ROW()-1,展開用!$E$2:$E$601,0)),"")</f>
        <v/>
      </c>
      <c r="AX244" s="1"/>
      <c r="AY244" s="1"/>
    </row>
    <row r="245" spans="1:51" ht="24" customHeight="1">
      <c r="A245" s="11"/>
      <c r="B245" s="11"/>
      <c r="C245" s="11"/>
      <c r="D245" s="11"/>
      <c r="E245" s="11"/>
      <c r="F245" s="11"/>
      <c r="G245" s="11"/>
      <c r="H245" s="11" t="str">
        <f>IF(AND(ROW()-1&lt;=教室申込!$K$5,教室申込!$K$7=0,COUNTA(教室申込!$C$4)=1),INDEX(展開用!$C$2:$C$601,MATCH(ROW()-1,展開用!$E$2:$E$601,0)),"")</f>
        <v/>
      </c>
      <c r="I245" s="11" t="str">
        <f>IF(AND(ROW()-1&lt;=教室申込!$K$5,教室申込!$K$7=0,COUNTA(教室申込!$C$4)=1),INDEX(展開用!$D$2:$D$601,MATCH(ROW()-1,展開用!$E$2:$E$601,0)),"")</f>
        <v/>
      </c>
      <c r="J245" s="11"/>
      <c r="K245" s="11"/>
      <c r="L245" s="11" t="str">
        <f>IF(AND(ROW()-1&lt;=教室申込!$K$5,教室申込!$K$7=0,COUNTA(教室申込!$C$4)=1),INDEX(教室申込!$B$1:$B$212,$AW245),"")</f>
        <v/>
      </c>
      <c r="M245" s="11" t="str">
        <f>IF(AND(ROW()-1&lt;=教室申込!$K$5,教室申込!$K$7=0,COUNTA(教室申込!$C$4)=1),INDEX(教室申込!$C$1:$C$212,$AW245),"")</f>
        <v/>
      </c>
      <c r="N245" s="11"/>
      <c r="O245" s="12" t="str">
        <f>IF(AND(ROW()-1&lt;=教室申込!$K$5,教室申込!$K$7=0,COUNTA(教室申込!$C$4)=1),INDEX(展開用!$G$2:$G$601,MATCH(ROW()-1,展開用!$E$2:$E$601,0)),"")</f>
        <v/>
      </c>
      <c r="P245" s="11"/>
      <c r="Q245" s="11"/>
      <c r="R245" s="11"/>
      <c r="S245" s="11"/>
      <c r="T245" s="11"/>
      <c r="U245" s="11" t="str">
        <f>IF(AND(ROW()-1&lt;=教室申込!$K$5,教室申込!$K$7=0,COUNTA(教室申込!$C$4)=1),INDEX(展開用!$F$2:$F$601,MATCH(ROW()-1,展開用!$E$2:$E$601,0)),"")</f>
        <v/>
      </c>
      <c r="V245" s="11"/>
      <c r="W245" s="11"/>
      <c r="X245" s="11"/>
      <c r="Y245" s="11"/>
      <c r="Z245" s="11"/>
      <c r="AA245" s="11" t="str">
        <f>IF($AW245="","",IF(INDEX(教室申込!$J$1:$J$212,$AW245)="","",INDEX(教室申込!$J$1:$J$212,$AW245)))</f>
        <v/>
      </c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" t="str">
        <f>IF(AND(ROW()-1&lt;=教室申込!$K$5,教室申込!$K$7=0,COUNTA(教室申込!$C$4)=1),INDEX(展開用!$B$2:$B$601,MATCH(ROW()-1,展開用!$E$2:$E$601,0)),"")</f>
        <v/>
      </c>
      <c r="AX245" s="1"/>
      <c r="AY245" s="1"/>
    </row>
    <row r="246" spans="1:51" ht="24" customHeight="1">
      <c r="A246" s="11"/>
      <c r="B246" s="11"/>
      <c r="C246" s="11"/>
      <c r="D246" s="11"/>
      <c r="E246" s="11"/>
      <c r="F246" s="11"/>
      <c r="G246" s="11"/>
      <c r="H246" s="11" t="str">
        <f>IF(AND(ROW()-1&lt;=教室申込!$K$5,教室申込!$K$7=0,COUNTA(教室申込!$C$4)=1),INDEX(展開用!$C$2:$C$601,MATCH(ROW()-1,展開用!$E$2:$E$601,0)),"")</f>
        <v/>
      </c>
      <c r="I246" s="11" t="str">
        <f>IF(AND(ROW()-1&lt;=教室申込!$K$5,教室申込!$K$7=0,COUNTA(教室申込!$C$4)=1),INDEX(展開用!$D$2:$D$601,MATCH(ROW()-1,展開用!$E$2:$E$601,0)),"")</f>
        <v/>
      </c>
      <c r="J246" s="11"/>
      <c r="K246" s="11"/>
      <c r="L246" s="11" t="str">
        <f>IF(AND(ROW()-1&lt;=教室申込!$K$5,教室申込!$K$7=0,COUNTA(教室申込!$C$4)=1),INDEX(教室申込!$B$1:$B$212,$AW246),"")</f>
        <v/>
      </c>
      <c r="M246" s="11" t="str">
        <f>IF(AND(ROW()-1&lt;=教室申込!$K$5,教室申込!$K$7=0,COUNTA(教室申込!$C$4)=1),INDEX(教室申込!$C$1:$C$212,$AW246),"")</f>
        <v/>
      </c>
      <c r="N246" s="11"/>
      <c r="O246" s="12" t="str">
        <f>IF(AND(ROW()-1&lt;=教室申込!$K$5,教室申込!$K$7=0,COUNTA(教室申込!$C$4)=1),INDEX(展開用!$G$2:$G$601,MATCH(ROW()-1,展開用!$E$2:$E$601,0)),"")</f>
        <v/>
      </c>
      <c r="P246" s="11"/>
      <c r="Q246" s="11"/>
      <c r="R246" s="11"/>
      <c r="S246" s="11"/>
      <c r="T246" s="11"/>
      <c r="U246" s="11" t="str">
        <f>IF(AND(ROW()-1&lt;=教室申込!$K$5,教室申込!$K$7=0,COUNTA(教室申込!$C$4)=1),INDEX(展開用!$F$2:$F$601,MATCH(ROW()-1,展開用!$E$2:$E$601,0)),"")</f>
        <v/>
      </c>
      <c r="V246" s="11"/>
      <c r="W246" s="11"/>
      <c r="X246" s="11"/>
      <c r="Y246" s="11"/>
      <c r="Z246" s="11"/>
      <c r="AA246" s="11" t="str">
        <f>IF($AW246="","",IF(INDEX(教室申込!$J$1:$J$212,$AW246)="","",INDEX(教室申込!$J$1:$J$212,$AW246)))</f>
        <v/>
      </c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" t="str">
        <f>IF(AND(ROW()-1&lt;=教室申込!$K$5,教室申込!$K$7=0,COUNTA(教室申込!$C$4)=1),INDEX(展開用!$B$2:$B$601,MATCH(ROW()-1,展開用!$E$2:$E$601,0)),"")</f>
        <v/>
      </c>
      <c r="AX246" s="1"/>
      <c r="AY246" s="1"/>
    </row>
    <row r="247" spans="1:51" ht="24" customHeight="1">
      <c r="A247" s="11"/>
      <c r="B247" s="11"/>
      <c r="C247" s="11"/>
      <c r="D247" s="11"/>
      <c r="E247" s="11"/>
      <c r="F247" s="11"/>
      <c r="G247" s="11"/>
      <c r="H247" s="11" t="str">
        <f>IF(AND(ROW()-1&lt;=教室申込!$K$5,教室申込!$K$7=0,COUNTA(教室申込!$C$4)=1),INDEX(展開用!$C$2:$C$601,MATCH(ROW()-1,展開用!$E$2:$E$601,0)),"")</f>
        <v/>
      </c>
      <c r="I247" s="11" t="str">
        <f>IF(AND(ROW()-1&lt;=教室申込!$K$5,教室申込!$K$7=0,COUNTA(教室申込!$C$4)=1),INDEX(展開用!$D$2:$D$601,MATCH(ROW()-1,展開用!$E$2:$E$601,0)),"")</f>
        <v/>
      </c>
      <c r="J247" s="11"/>
      <c r="K247" s="11"/>
      <c r="L247" s="11" t="str">
        <f>IF(AND(ROW()-1&lt;=教室申込!$K$5,教室申込!$K$7=0,COUNTA(教室申込!$C$4)=1),INDEX(教室申込!$B$1:$B$212,$AW247),"")</f>
        <v/>
      </c>
      <c r="M247" s="11" t="str">
        <f>IF(AND(ROW()-1&lt;=教室申込!$K$5,教室申込!$K$7=0,COUNTA(教室申込!$C$4)=1),INDEX(教室申込!$C$1:$C$212,$AW247),"")</f>
        <v/>
      </c>
      <c r="N247" s="11"/>
      <c r="O247" s="12" t="str">
        <f>IF(AND(ROW()-1&lt;=教室申込!$K$5,教室申込!$K$7=0,COUNTA(教室申込!$C$4)=1),INDEX(展開用!$G$2:$G$601,MATCH(ROW()-1,展開用!$E$2:$E$601,0)),"")</f>
        <v/>
      </c>
      <c r="P247" s="11"/>
      <c r="Q247" s="11"/>
      <c r="R247" s="11"/>
      <c r="S247" s="11"/>
      <c r="T247" s="11"/>
      <c r="U247" s="11" t="str">
        <f>IF(AND(ROW()-1&lt;=教室申込!$K$5,教室申込!$K$7=0,COUNTA(教室申込!$C$4)=1),INDEX(展開用!$F$2:$F$601,MATCH(ROW()-1,展開用!$E$2:$E$601,0)),"")</f>
        <v/>
      </c>
      <c r="V247" s="11"/>
      <c r="W247" s="11"/>
      <c r="X247" s="11"/>
      <c r="Y247" s="11"/>
      <c r="Z247" s="11"/>
      <c r="AA247" s="11" t="str">
        <f>IF($AW247="","",IF(INDEX(教室申込!$J$1:$J$212,$AW247)="","",INDEX(教室申込!$J$1:$J$212,$AW247)))</f>
        <v/>
      </c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" t="str">
        <f>IF(AND(ROW()-1&lt;=教室申込!$K$5,教室申込!$K$7=0,COUNTA(教室申込!$C$4)=1),INDEX(展開用!$B$2:$B$601,MATCH(ROW()-1,展開用!$E$2:$E$601,0)),"")</f>
        <v/>
      </c>
      <c r="AX247" s="1"/>
      <c r="AY247" s="1"/>
    </row>
    <row r="248" spans="1:51" ht="24" customHeight="1">
      <c r="A248" s="11"/>
      <c r="B248" s="11"/>
      <c r="C248" s="11"/>
      <c r="D248" s="11"/>
      <c r="E248" s="11"/>
      <c r="F248" s="11"/>
      <c r="G248" s="11"/>
      <c r="H248" s="11" t="str">
        <f>IF(AND(ROW()-1&lt;=教室申込!$K$5,教室申込!$K$7=0,COUNTA(教室申込!$C$4)=1),INDEX(展開用!$C$2:$C$601,MATCH(ROW()-1,展開用!$E$2:$E$601,0)),"")</f>
        <v/>
      </c>
      <c r="I248" s="11" t="str">
        <f>IF(AND(ROW()-1&lt;=教室申込!$K$5,教室申込!$K$7=0,COUNTA(教室申込!$C$4)=1),INDEX(展開用!$D$2:$D$601,MATCH(ROW()-1,展開用!$E$2:$E$601,0)),"")</f>
        <v/>
      </c>
      <c r="J248" s="11"/>
      <c r="K248" s="11"/>
      <c r="L248" s="11" t="str">
        <f>IF(AND(ROW()-1&lt;=教室申込!$K$5,教室申込!$K$7=0,COUNTA(教室申込!$C$4)=1),INDEX(教室申込!$B$1:$B$212,$AW248),"")</f>
        <v/>
      </c>
      <c r="M248" s="11" t="str">
        <f>IF(AND(ROW()-1&lt;=教室申込!$K$5,教室申込!$K$7=0,COUNTA(教室申込!$C$4)=1),INDEX(教室申込!$C$1:$C$212,$AW248),"")</f>
        <v/>
      </c>
      <c r="N248" s="11"/>
      <c r="O248" s="12" t="str">
        <f>IF(AND(ROW()-1&lt;=教室申込!$K$5,教室申込!$K$7=0,COUNTA(教室申込!$C$4)=1),INDEX(展開用!$G$2:$G$601,MATCH(ROW()-1,展開用!$E$2:$E$601,0)),"")</f>
        <v/>
      </c>
      <c r="P248" s="11"/>
      <c r="Q248" s="11"/>
      <c r="R248" s="11"/>
      <c r="S248" s="11"/>
      <c r="T248" s="11"/>
      <c r="U248" s="11" t="str">
        <f>IF(AND(ROW()-1&lt;=教室申込!$K$5,教室申込!$K$7=0,COUNTA(教室申込!$C$4)=1),INDEX(展開用!$F$2:$F$601,MATCH(ROW()-1,展開用!$E$2:$E$601,0)),"")</f>
        <v/>
      </c>
      <c r="V248" s="11"/>
      <c r="W248" s="11"/>
      <c r="X248" s="11"/>
      <c r="Y248" s="11"/>
      <c r="Z248" s="11"/>
      <c r="AA248" s="11" t="str">
        <f>IF($AW248="","",IF(INDEX(教室申込!$J$1:$J$212,$AW248)="","",INDEX(教室申込!$J$1:$J$212,$AW248)))</f>
        <v/>
      </c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" t="str">
        <f>IF(AND(ROW()-1&lt;=教室申込!$K$5,教室申込!$K$7=0,COUNTA(教室申込!$C$4)=1),INDEX(展開用!$B$2:$B$601,MATCH(ROW()-1,展開用!$E$2:$E$601,0)),"")</f>
        <v/>
      </c>
      <c r="AX248" s="1"/>
      <c r="AY248" s="1"/>
    </row>
    <row r="249" spans="1:51" ht="24" customHeight="1">
      <c r="A249" s="11"/>
      <c r="B249" s="11"/>
      <c r="C249" s="11"/>
      <c r="D249" s="11"/>
      <c r="E249" s="11"/>
      <c r="F249" s="11"/>
      <c r="G249" s="11"/>
      <c r="H249" s="11" t="str">
        <f>IF(AND(ROW()-1&lt;=教室申込!$K$5,教室申込!$K$7=0,COUNTA(教室申込!$C$4)=1),INDEX(展開用!$C$2:$C$601,MATCH(ROW()-1,展開用!$E$2:$E$601,0)),"")</f>
        <v/>
      </c>
      <c r="I249" s="11" t="str">
        <f>IF(AND(ROW()-1&lt;=教室申込!$K$5,教室申込!$K$7=0,COUNTA(教室申込!$C$4)=1),INDEX(展開用!$D$2:$D$601,MATCH(ROW()-1,展開用!$E$2:$E$601,0)),"")</f>
        <v/>
      </c>
      <c r="J249" s="11"/>
      <c r="K249" s="11"/>
      <c r="L249" s="11" t="str">
        <f>IF(AND(ROW()-1&lt;=教室申込!$K$5,教室申込!$K$7=0,COUNTA(教室申込!$C$4)=1),INDEX(教室申込!$B$1:$B$212,$AW249),"")</f>
        <v/>
      </c>
      <c r="M249" s="11" t="str">
        <f>IF(AND(ROW()-1&lt;=教室申込!$K$5,教室申込!$K$7=0,COUNTA(教室申込!$C$4)=1),INDEX(教室申込!$C$1:$C$212,$AW249),"")</f>
        <v/>
      </c>
      <c r="N249" s="11"/>
      <c r="O249" s="12" t="str">
        <f>IF(AND(ROW()-1&lt;=教室申込!$K$5,教室申込!$K$7=0,COUNTA(教室申込!$C$4)=1),INDEX(展開用!$G$2:$G$601,MATCH(ROW()-1,展開用!$E$2:$E$601,0)),"")</f>
        <v/>
      </c>
      <c r="P249" s="11"/>
      <c r="Q249" s="11"/>
      <c r="R249" s="11"/>
      <c r="S249" s="11"/>
      <c r="T249" s="11"/>
      <c r="U249" s="11" t="str">
        <f>IF(AND(ROW()-1&lt;=教室申込!$K$5,教室申込!$K$7=0,COUNTA(教室申込!$C$4)=1),INDEX(展開用!$F$2:$F$601,MATCH(ROW()-1,展開用!$E$2:$E$601,0)),"")</f>
        <v/>
      </c>
      <c r="V249" s="11"/>
      <c r="W249" s="11"/>
      <c r="X249" s="11"/>
      <c r="Y249" s="11"/>
      <c r="Z249" s="11"/>
      <c r="AA249" s="11" t="str">
        <f>IF($AW249="","",IF(INDEX(教室申込!$J$1:$J$212,$AW249)="","",INDEX(教室申込!$J$1:$J$212,$AW249)))</f>
        <v/>
      </c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" t="str">
        <f>IF(AND(ROW()-1&lt;=教室申込!$K$5,教室申込!$K$7=0,COUNTA(教室申込!$C$4)=1),INDEX(展開用!$B$2:$B$601,MATCH(ROW()-1,展開用!$E$2:$E$601,0)),"")</f>
        <v/>
      </c>
      <c r="AX249" s="1"/>
      <c r="AY249" s="1"/>
    </row>
    <row r="250" spans="1:51" ht="24" customHeight="1">
      <c r="A250" s="11"/>
      <c r="B250" s="11"/>
      <c r="C250" s="11"/>
      <c r="D250" s="11"/>
      <c r="E250" s="11"/>
      <c r="F250" s="11"/>
      <c r="G250" s="11"/>
      <c r="H250" s="11" t="str">
        <f>IF(AND(ROW()-1&lt;=教室申込!$K$5,教室申込!$K$7=0,COUNTA(教室申込!$C$4)=1),INDEX(展開用!$C$2:$C$601,MATCH(ROW()-1,展開用!$E$2:$E$601,0)),"")</f>
        <v/>
      </c>
      <c r="I250" s="11" t="str">
        <f>IF(AND(ROW()-1&lt;=教室申込!$K$5,教室申込!$K$7=0,COUNTA(教室申込!$C$4)=1),INDEX(展開用!$D$2:$D$601,MATCH(ROW()-1,展開用!$E$2:$E$601,0)),"")</f>
        <v/>
      </c>
      <c r="J250" s="11"/>
      <c r="K250" s="11"/>
      <c r="L250" s="11" t="str">
        <f>IF(AND(ROW()-1&lt;=教室申込!$K$5,教室申込!$K$7=0,COUNTA(教室申込!$C$4)=1),INDEX(教室申込!$B$1:$B$212,$AW250),"")</f>
        <v/>
      </c>
      <c r="M250" s="11" t="str">
        <f>IF(AND(ROW()-1&lt;=教室申込!$K$5,教室申込!$K$7=0,COUNTA(教室申込!$C$4)=1),INDEX(教室申込!$C$1:$C$212,$AW250),"")</f>
        <v/>
      </c>
      <c r="N250" s="11"/>
      <c r="O250" s="12" t="str">
        <f>IF(AND(ROW()-1&lt;=教室申込!$K$5,教室申込!$K$7=0,COUNTA(教室申込!$C$4)=1),INDEX(展開用!$G$2:$G$601,MATCH(ROW()-1,展開用!$E$2:$E$601,0)),"")</f>
        <v/>
      </c>
      <c r="P250" s="11"/>
      <c r="Q250" s="11"/>
      <c r="R250" s="11"/>
      <c r="S250" s="11"/>
      <c r="T250" s="11"/>
      <c r="U250" s="11" t="str">
        <f>IF(AND(ROW()-1&lt;=教室申込!$K$5,教室申込!$K$7=0,COUNTA(教室申込!$C$4)=1),INDEX(展開用!$F$2:$F$601,MATCH(ROW()-1,展開用!$E$2:$E$601,0)),"")</f>
        <v/>
      </c>
      <c r="V250" s="11"/>
      <c r="W250" s="11"/>
      <c r="X250" s="11"/>
      <c r="Y250" s="11"/>
      <c r="Z250" s="11"/>
      <c r="AA250" s="11" t="str">
        <f>IF($AW250="","",IF(INDEX(教室申込!$J$1:$J$212,$AW250)="","",INDEX(教室申込!$J$1:$J$212,$AW250)))</f>
        <v/>
      </c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" t="str">
        <f>IF(AND(ROW()-1&lt;=教室申込!$K$5,教室申込!$K$7=0,COUNTA(教室申込!$C$4)=1),INDEX(展開用!$B$2:$B$601,MATCH(ROW()-1,展開用!$E$2:$E$601,0)),"")</f>
        <v/>
      </c>
      <c r="AX250" s="1"/>
      <c r="AY250" s="1"/>
    </row>
    <row r="251" spans="1:51" ht="24" customHeight="1">
      <c r="A251" s="11"/>
      <c r="B251" s="11"/>
      <c r="C251" s="11"/>
      <c r="D251" s="11"/>
      <c r="E251" s="11"/>
      <c r="F251" s="11"/>
      <c r="G251" s="11"/>
      <c r="H251" s="11" t="str">
        <f>IF(AND(ROW()-1&lt;=教室申込!$K$5,教室申込!$K$7=0,COUNTA(教室申込!$C$4)=1),INDEX(展開用!$C$2:$C$601,MATCH(ROW()-1,展開用!$E$2:$E$601,0)),"")</f>
        <v/>
      </c>
      <c r="I251" s="11" t="str">
        <f>IF(AND(ROW()-1&lt;=教室申込!$K$5,教室申込!$K$7=0,COUNTA(教室申込!$C$4)=1),INDEX(展開用!$D$2:$D$601,MATCH(ROW()-1,展開用!$E$2:$E$601,0)),"")</f>
        <v/>
      </c>
      <c r="J251" s="11"/>
      <c r="K251" s="11"/>
      <c r="L251" s="11" t="str">
        <f>IF(AND(ROW()-1&lt;=教室申込!$K$5,教室申込!$K$7=0,COUNTA(教室申込!$C$4)=1),INDEX(教室申込!$B$1:$B$212,$AW251),"")</f>
        <v/>
      </c>
      <c r="M251" s="11" t="str">
        <f>IF(AND(ROW()-1&lt;=教室申込!$K$5,教室申込!$K$7=0,COUNTA(教室申込!$C$4)=1),INDEX(教室申込!$C$1:$C$212,$AW251),"")</f>
        <v/>
      </c>
      <c r="N251" s="11"/>
      <c r="O251" s="12" t="str">
        <f>IF(AND(ROW()-1&lt;=教室申込!$K$5,教室申込!$K$7=0,COUNTA(教室申込!$C$4)=1),INDEX(展開用!$G$2:$G$601,MATCH(ROW()-1,展開用!$E$2:$E$601,0)),"")</f>
        <v/>
      </c>
      <c r="P251" s="11"/>
      <c r="Q251" s="11"/>
      <c r="R251" s="11"/>
      <c r="S251" s="11"/>
      <c r="T251" s="11"/>
      <c r="U251" s="11" t="str">
        <f>IF(AND(ROW()-1&lt;=教室申込!$K$5,教室申込!$K$7=0,COUNTA(教室申込!$C$4)=1),INDEX(展開用!$F$2:$F$601,MATCH(ROW()-1,展開用!$E$2:$E$601,0)),"")</f>
        <v/>
      </c>
      <c r="V251" s="11"/>
      <c r="W251" s="11"/>
      <c r="X251" s="11"/>
      <c r="Y251" s="11"/>
      <c r="Z251" s="11"/>
      <c r="AA251" s="11" t="str">
        <f>IF($AW251="","",IF(INDEX(教室申込!$J$1:$J$212,$AW251)="","",INDEX(教室申込!$J$1:$J$212,$AW251)))</f>
        <v/>
      </c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" t="str">
        <f>IF(AND(ROW()-1&lt;=教室申込!$K$5,教室申込!$K$7=0,COUNTA(教室申込!$C$4)=1),INDEX(展開用!$B$2:$B$601,MATCH(ROW()-1,展開用!$E$2:$E$601,0)),"")</f>
        <v/>
      </c>
      <c r="AX251" s="1"/>
      <c r="AY251" s="1"/>
    </row>
    <row r="252" spans="1:51" ht="24" customHeight="1">
      <c r="A252" s="11"/>
      <c r="B252" s="11"/>
      <c r="C252" s="11"/>
      <c r="D252" s="11"/>
      <c r="E252" s="11"/>
      <c r="F252" s="11"/>
      <c r="G252" s="11"/>
      <c r="H252" s="11" t="str">
        <f>IF(AND(ROW()-1&lt;=教室申込!$K$5,教室申込!$K$7=0,COUNTA(教室申込!$C$4)=1),INDEX(展開用!$C$2:$C$601,MATCH(ROW()-1,展開用!$E$2:$E$601,0)),"")</f>
        <v/>
      </c>
      <c r="I252" s="11" t="str">
        <f>IF(AND(ROW()-1&lt;=教室申込!$K$5,教室申込!$K$7=0,COUNTA(教室申込!$C$4)=1),INDEX(展開用!$D$2:$D$601,MATCH(ROW()-1,展開用!$E$2:$E$601,0)),"")</f>
        <v/>
      </c>
      <c r="J252" s="11"/>
      <c r="K252" s="11"/>
      <c r="L252" s="11" t="str">
        <f>IF(AND(ROW()-1&lt;=教室申込!$K$5,教室申込!$K$7=0,COUNTA(教室申込!$C$4)=1),INDEX(教室申込!$B$1:$B$212,$AW252),"")</f>
        <v/>
      </c>
      <c r="M252" s="11" t="str">
        <f>IF(AND(ROW()-1&lt;=教室申込!$K$5,教室申込!$K$7=0,COUNTA(教室申込!$C$4)=1),INDEX(教室申込!$C$1:$C$212,$AW252),"")</f>
        <v/>
      </c>
      <c r="N252" s="11"/>
      <c r="O252" s="12" t="str">
        <f>IF(AND(ROW()-1&lt;=教室申込!$K$5,教室申込!$K$7=0,COUNTA(教室申込!$C$4)=1),INDEX(展開用!$G$2:$G$601,MATCH(ROW()-1,展開用!$E$2:$E$601,0)),"")</f>
        <v/>
      </c>
      <c r="P252" s="11"/>
      <c r="Q252" s="11"/>
      <c r="R252" s="11"/>
      <c r="S252" s="11"/>
      <c r="T252" s="11"/>
      <c r="U252" s="11" t="str">
        <f>IF(AND(ROW()-1&lt;=教室申込!$K$5,教室申込!$K$7=0,COUNTA(教室申込!$C$4)=1),INDEX(展開用!$F$2:$F$601,MATCH(ROW()-1,展開用!$E$2:$E$601,0)),"")</f>
        <v/>
      </c>
      <c r="V252" s="11"/>
      <c r="W252" s="11"/>
      <c r="X252" s="11"/>
      <c r="Y252" s="11"/>
      <c r="Z252" s="11"/>
      <c r="AA252" s="11" t="str">
        <f>IF($AW252="","",IF(INDEX(教室申込!$J$1:$J$212,$AW252)="","",INDEX(教室申込!$J$1:$J$212,$AW252)))</f>
        <v/>
      </c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" t="str">
        <f>IF(AND(ROW()-1&lt;=教室申込!$K$5,教室申込!$K$7=0,COUNTA(教室申込!$C$4)=1),INDEX(展開用!$B$2:$B$601,MATCH(ROW()-1,展開用!$E$2:$E$601,0)),"")</f>
        <v/>
      </c>
      <c r="AX252" s="1"/>
      <c r="AY252" s="1"/>
    </row>
    <row r="253" spans="1:51" ht="24" customHeight="1">
      <c r="A253" s="11"/>
      <c r="B253" s="11"/>
      <c r="C253" s="11"/>
      <c r="D253" s="11"/>
      <c r="E253" s="11"/>
      <c r="F253" s="11"/>
      <c r="G253" s="11"/>
      <c r="H253" s="11" t="str">
        <f>IF(AND(ROW()-1&lt;=教室申込!$K$5,教室申込!$K$7=0,COUNTA(教室申込!$C$4)=1),INDEX(展開用!$C$2:$C$601,MATCH(ROW()-1,展開用!$E$2:$E$601,0)),"")</f>
        <v/>
      </c>
      <c r="I253" s="11" t="str">
        <f>IF(AND(ROW()-1&lt;=教室申込!$K$5,教室申込!$K$7=0,COUNTA(教室申込!$C$4)=1),INDEX(展開用!$D$2:$D$601,MATCH(ROW()-1,展開用!$E$2:$E$601,0)),"")</f>
        <v/>
      </c>
      <c r="J253" s="11"/>
      <c r="K253" s="11"/>
      <c r="L253" s="11" t="str">
        <f>IF(AND(ROW()-1&lt;=教室申込!$K$5,教室申込!$K$7=0,COUNTA(教室申込!$C$4)=1),INDEX(教室申込!$B$1:$B$212,$AW253),"")</f>
        <v/>
      </c>
      <c r="M253" s="11" t="str">
        <f>IF(AND(ROW()-1&lt;=教室申込!$K$5,教室申込!$K$7=0,COUNTA(教室申込!$C$4)=1),INDEX(教室申込!$C$1:$C$212,$AW253),"")</f>
        <v/>
      </c>
      <c r="N253" s="11"/>
      <c r="O253" s="12" t="str">
        <f>IF(AND(ROW()-1&lt;=教室申込!$K$5,教室申込!$K$7=0,COUNTA(教室申込!$C$4)=1),INDEX(展開用!$G$2:$G$601,MATCH(ROW()-1,展開用!$E$2:$E$601,0)),"")</f>
        <v/>
      </c>
      <c r="P253" s="11"/>
      <c r="Q253" s="11"/>
      <c r="R253" s="11"/>
      <c r="S253" s="11"/>
      <c r="T253" s="11"/>
      <c r="U253" s="11" t="str">
        <f>IF(AND(ROW()-1&lt;=教室申込!$K$5,教室申込!$K$7=0,COUNTA(教室申込!$C$4)=1),INDEX(展開用!$F$2:$F$601,MATCH(ROW()-1,展開用!$E$2:$E$601,0)),"")</f>
        <v/>
      </c>
      <c r="V253" s="11"/>
      <c r="W253" s="11"/>
      <c r="X253" s="11"/>
      <c r="Y253" s="11"/>
      <c r="Z253" s="11"/>
      <c r="AA253" s="11" t="str">
        <f>IF($AW253="","",IF(INDEX(教室申込!$J$1:$J$212,$AW253)="","",INDEX(教室申込!$J$1:$J$212,$AW253)))</f>
        <v/>
      </c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" t="str">
        <f>IF(AND(ROW()-1&lt;=教室申込!$K$5,教室申込!$K$7=0,COUNTA(教室申込!$C$4)=1),INDEX(展開用!$B$2:$B$601,MATCH(ROW()-1,展開用!$E$2:$E$601,0)),"")</f>
        <v/>
      </c>
      <c r="AX253" s="1"/>
      <c r="AY253" s="1"/>
    </row>
    <row r="254" spans="1:51" ht="24" customHeight="1">
      <c r="A254" s="11"/>
      <c r="B254" s="11"/>
      <c r="C254" s="11"/>
      <c r="D254" s="11"/>
      <c r="E254" s="11"/>
      <c r="F254" s="11"/>
      <c r="G254" s="11"/>
      <c r="H254" s="11" t="str">
        <f>IF(AND(ROW()-1&lt;=教室申込!$K$5,教室申込!$K$7=0,COUNTA(教室申込!$C$4)=1),INDEX(展開用!$C$2:$C$601,MATCH(ROW()-1,展開用!$E$2:$E$601,0)),"")</f>
        <v/>
      </c>
      <c r="I254" s="11" t="str">
        <f>IF(AND(ROW()-1&lt;=教室申込!$K$5,教室申込!$K$7=0,COUNTA(教室申込!$C$4)=1),INDEX(展開用!$D$2:$D$601,MATCH(ROW()-1,展開用!$E$2:$E$601,0)),"")</f>
        <v/>
      </c>
      <c r="J254" s="11"/>
      <c r="K254" s="11"/>
      <c r="L254" s="11" t="str">
        <f>IF(AND(ROW()-1&lt;=教室申込!$K$5,教室申込!$K$7=0,COUNTA(教室申込!$C$4)=1),INDEX(教室申込!$B$1:$B$212,$AW254),"")</f>
        <v/>
      </c>
      <c r="M254" s="11" t="str">
        <f>IF(AND(ROW()-1&lt;=教室申込!$K$5,教室申込!$K$7=0,COUNTA(教室申込!$C$4)=1),INDEX(教室申込!$C$1:$C$212,$AW254),"")</f>
        <v/>
      </c>
      <c r="N254" s="11"/>
      <c r="O254" s="12" t="str">
        <f>IF(AND(ROW()-1&lt;=教室申込!$K$5,教室申込!$K$7=0,COUNTA(教室申込!$C$4)=1),INDEX(展開用!$G$2:$G$601,MATCH(ROW()-1,展開用!$E$2:$E$601,0)),"")</f>
        <v/>
      </c>
      <c r="P254" s="11"/>
      <c r="Q254" s="11"/>
      <c r="R254" s="11"/>
      <c r="S254" s="11"/>
      <c r="T254" s="11"/>
      <c r="U254" s="11" t="str">
        <f>IF(AND(ROW()-1&lt;=教室申込!$K$5,教室申込!$K$7=0,COUNTA(教室申込!$C$4)=1),INDEX(展開用!$F$2:$F$601,MATCH(ROW()-1,展開用!$E$2:$E$601,0)),"")</f>
        <v/>
      </c>
      <c r="V254" s="11"/>
      <c r="W254" s="11"/>
      <c r="X254" s="11"/>
      <c r="Y254" s="11"/>
      <c r="Z254" s="11"/>
      <c r="AA254" s="11" t="str">
        <f>IF($AW254="","",IF(INDEX(教室申込!$J$1:$J$212,$AW254)="","",INDEX(教室申込!$J$1:$J$212,$AW254)))</f>
        <v/>
      </c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" t="str">
        <f>IF(AND(ROW()-1&lt;=教室申込!$K$5,教室申込!$K$7=0,COUNTA(教室申込!$C$4)=1),INDEX(展開用!$B$2:$B$601,MATCH(ROW()-1,展開用!$E$2:$E$601,0)),"")</f>
        <v/>
      </c>
      <c r="AX254" s="1"/>
      <c r="AY254" s="1"/>
    </row>
    <row r="255" spans="1:51" ht="24" customHeight="1">
      <c r="A255" s="11"/>
      <c r="B255" s="11"/>
      <c r="C255" s="11"/>
      <c r="D255" s="11"/>
      <c r="E255" s="11"/>
      <c r="F255" s="11"/>
      <c r="G255" s="11"/>
      <c r="H255" s="11" t="str">
        <f>IF(AND(ROW()-1&lt;=教室申込!$K$5,教室申込!$K$7=0,COUNTA(教室申込!$C$4)=1),INDEX(展開用!$C$2:$C$601,MATCH(ROW()-1,展開用!$E$2:$E$601,0)),"")</f>
        <v/>
      </c>
      <c r="I255" s="11" t="str">
        <f>IF(AND(ROW()-1&lt;=教室申込!$K$5,教室申込!$K$7=0,COUNTA(教室申込!$C$4)=1),INDEX(展開用!$D$2:$D$601,MATCH(ROW()-1,展開用!$E$2:$E$601,0)),"")</f>
        <v/>
      </c>
      <c r="J255" s="11"/>
      <c r="K255" s="11"/>
      <c r="L255" s="11" t="str">
        <f>IF(AND(ROW()-1&lt;=教室申込!$K$5,教室申込!$K$7=0,COUNTA(教室申込!$C$4)=1),INDEX(教室申込!$B$1:$B$212,$AW255),"")</f>
        <v/>
      </c>
      <c r="M255" s="11" t="str">
        <f>IF(AND(ROW()-1&lt;=教室申込!$K$5,教室申込!$K$7=0,COUNTA(教室申込!$C$4)=1),INDEX(教室申込!$C$1:$C$212,$AW255),"")</f>
        <v/>
      </c>
      <c r="N255" s="11"/>
      <c r="O255" s="12" t="str">
        <f>IF(AND(ROW()-1&lt;=教室申込!$K$5,教室申込!$K$7=0,COUNTA(教室申込!$C$4)=1),INDEX(展開用!$G$2:$G$601,MATCH(ROW()-1,展開用!$E$2:$E$601,0)),"")</f>
        <v/>
      </c>
      <c r="P255" s="11"/>
      <c r="Q255" s="11"/>
      <c r="R255" s="11"/>
      <c r="S255" s="11"/>
      <c r="T255" s="11"/>
      <c r="U255" s="11" t="str">
        <f>IF(AND(ROW()-1&lt;=教室申込!$K$5,教室申込!$K$7=0,COUNTA(教室申込!$C$4)=1),INDEX(展開用!$F$2:$F$601,MATCH(ROW()-1,展開用!$E$2:$E$601,0)),"")</f>
        <v/>
      </c>
      <c r="V255" s="11"/>
      <c r="W255" s="11"/>
      <c r="X255" s="11"/>
      <c r="Y255" s="11"/>
      <c r="Z255" s="11"/>
      <c r="AA255" s="11" t="str">
        <f>IF($AW255="","",IF(INDEX(教室申込!$J$1:$J$212,$AW255)="","",INDEX(教室申込!$J$1:$J$212,$AW255)))</f>
        <v/>
      </c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" t="str">
        <f>IF(AND(ROW()-1&lt;=教室申込!$K$5,教室申込!$K$7=0,COUNTA(教室申込!$C$4)=1),INDEX(展開用!$B$2:$B$601,MATCH(ROW()-1,展開用!$E$2:$E$601,0)),"")</f>
        <v/>
      </c>
      <c r="AX255" s="1"/>
      <c r="AY255" s="1"/>
    </row>
    <row r="256" spans="1:51" ht="24" customHeight="1">
      <c r="A256" s="11"/>
      <c r="B256" s="11"/>
      <c r="C256" s="11"/>
      <c r="D256" s="11"/>
      <c r="E256" s="11"/>
      <c r="F256" s="11"/>
      <c r="G256" s="11"/>
      <c r="H256" s="11" t="str">
        <f>IF(AND(ROW()-1&lt;=教室申込!$K$5,教室申込!$K$7=0,COUNTA(教室申込!$C$4)=1),INDEX(展開用!$C$2:$C$601,MATCH(ROW()-1,展開用!$E$2:$E$601,0)),"")</f>
        <v/>
      </c>
      <c r="I256" s="11" t="str">
        <f>IF(AND(ROW()-1&lt;=教室申込!$K$5,教室申込!$K$7=0,COUNTA(教室申込!$C$4)=1),INDEX(展開用!$D$2:$D$601,MATCH(ROW()-1,展開用!$E$2:$E$601,0)),"")</f>
        <v/>
      </c>
      <c r="J256" s="11"/>
      <c r="K256" s="11"/>
      <c r="L256" s="11" t="str">
        <f>IF(AND(ROW()-1&lt;=教室申込!$K$5,教室申込!$K$7=0,COUNTA(教室申込!$C$4)=1),INDEX(教室申込!$B$1:$B$212,$AW256),"")</f>
        <v/>
      </c>
      <c r="M256" s="11" t="str">
        <f>IF(AND(ROW()-1&lt;=教室申込!$K$5,教室申込!$K$7=0,COUNTA(教室申込!$C$4)=1),INDEX(教室申込!$C$1:$C$212,$AW256),"")</f>
        <v/>
      </c>
      <c r="N256" s="11"/>
      <c r="O256" s="12" t="str">
        <f>IF(AND(ROW()-1&lt;=教室申込!$K$5,教室申込!$K$7=0,COUNTA(教室申込!$C$4)=1),INDEX(展開用!$G$2:$G$601,MATCH(ROW()-1,展開用!$E$2:$E$601,0)),"")</f>
        <v/>
      </c>
      <c r="P256" s="11"/>
      <c r="Q256" s="11"/>
      <c r="R256" s="11"/>
      <c r="S256" s="11"/>
      <c r="T256" s="11"/>
      <c r="U256" s="11" t="str">
        <f>IF(AND(ROW()-1&lt;=教室申込!$K$5,教室申込!$K$7=0,COUNTA(教室申込!$C$4)=1),INDEX(展開用!$F$2:$F$601,MATCH(ROW()-1,展開用!$E$2:$E$601,0)),"")</f>
        <v/>
      </c>
      <c r="V256" s="11"/>
      <c r="W256" s="11"/>
      <c r="X256" s="11"/>
      <c r="Y256" s="11"/>
      <c r="Z256" s="11"/>
      <c r="AA256" s="11" t="str">
        <f>IF($AW256="","",IF(INDEX(教室申込!$J$1:$J$212,$AW256)="","",INDEX(教室申込!$J$1:$J$212,$AW256)))</f>
        <v/>
      </c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" t="str">
        <f>IF(AND(ROW()-1&lt;=教室申込!$K$5,教室申込!$K$7=0,COUNTA(教室申込!$C$4)=1),INDEX(展開用!$B$2:$B$601,MATCH(ROW()-1,展開用!$E$2:$E$601,0)),"")</f>
        <v/>
      </c>
      <c r="AX256" s="1"/>
      <c r="AY256" s="1"/>
    </row>
    <row r="257" spans="1:51" ht="24" customHeight="1">
      <c r="A257" s="11"/>
      <c r="B257" s="11"/>
      <c r="C257" s="11"/>
      <c r="D257" s="11"/>
      <c r="E257" s="11"/>
      <c r="F257" s="11"/>
      <c r="G257" s="11"/>
      <c r="H257" s="11" t="str">
        <f>IF(AND(ROW()-1&lt;=教室申込!$K$5,教室申込!$K$7=0,COUNTA(教室申込!$C$4)=1),INDEX(展開用!$C$2:$C$601,MATCH(ROW()-1,展開用!$E$2:$E$601,0)),"")</f>
        <v/>
      </c>
      <c r="I257" s="11" t="str">
        <f>IF(AND(ROW()-1&lt;=教室申込!$K$5,教室申込!$K$7=0,COUNTA(教室申込!$C$4)=1),INDEX(展開用!$D$2:$D$601,MATCH(ROW()-1,展開用!$E$2:$E$601,0)),"")</f>
        <v/>
      </c>
      <c r="J257" s="11"/>
      <c r="K257" s="11"/>
      <c r="L257" s="11" t="str">
        <f>IF(AND(ROW()-1&lt;=教室申込!$K$5,教室申込!$K$7=0,COUNTA(教室申込!$C$4)=1),INDEX(教室申込!$B$1:$B$212,$AW257),"")</f>
        <v/>
      </c>
      <c r="M257" s="11" t="str">
        <f>IF(AND(ROW()-1&lt;=教室申込!$K$5,教室申込!$K$7=0,COUNTA(教室申込!$C$4)=1),INDEX(教室申込!$C$1:$C$212,$AW257),"")</f>
        <v/>
      </c>
      <c r="N257" s="11"/>
      <c r="O257" s="12" t="str">
        <f>IF(AND(ROW()-1&lt;=教室申込!$K$5,教室申込!$K$7=0,COUNTA(教室申込!$C$4)=1),INDEX(展開用!$G$2:$G$601,MATCH(ROW()-1,展開用!$E$2:$E$601,0)),"")</f>
        <v/>
      </c>
      <c r="P257" s="11"/>
      <c r="Q257" s="11"/>
      <c r="R257" s="11"/>
      <c r="S257" s="11"/>
      <c r="T257" s="11"/>
      <c r="U257" s="11" t="str">
        <f>IF(AND(ROW()-1&lt;=教室申込!$K$5,教室申込!$K$7=0,COUNTA(教室申込!$C$4)=1),INDEX(展開用!$F$2:$F$601,MATCH(ROW()-1,展開用!$E$2:$E$601,0)),"")</f>
        <v/>
      </c>
      <c r="V257" s="11"/>
      <c r="W257" s="11"/>
      <c r="X257" s="11"/>
      <c r="Y257" s="11"/>
      <c r="Z257" s="11"/>
      <c r="AA257" s="11" t="str">
        <f>IF($AW257="","",IF(INDEX(教室申込!$J$1:$J$212,$AW257)="","",INDEX(教室申込!$J$1:$J$212,$AW257)))</f>
        <v/>
      </c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" t="str">
        <f>IF(AND(ROW()-1&lt;=教室申込!$K$5,教室申込!$K$7=0,COUNTA(教室申込!$C$4)=1),INDEX(展開用!$B$2:$B$601,MATCH(ROW()-1,展開用!$E$2:$E$601,0)),"")</f>
        <v/>
      </c>
      <c r="AX257" s="1"/>
      <c r="AY257" s="1"/>
    </row>
    <row r="258" spans="1:51" ht="24" customHeight="1">
      <c r="A258" s="11"/>
      <c r="B258" s="11"/>
      <c r="C258" s="11"/>
      <c r="D258" s="11"/>
      <c r="E258" s="11"/>
      <c r="F258" s="11"/>
      <c r="G258" s="11"/>
      <c r="H258" s="11" t="str">
        <f>IF(AND(ROW()-1&lt;=教室申込!$K$5,教室申込!$K$7=0,COUNTA(教室申込!$C$4)=1),INDEX(展開用!$C$2:$C$601,MATCH(ROW()-1,展開用!$E$2:$E$601,0)),"")</f>
        <v/>
      </c>
      <c r="I258" s="11" t="str">
        <f>IF(AND(ROW()-1&lt;=教室申込!$K$5,教室申込!$K$7=0,COUNTA(教室申込!$C$4)=1),INDEX(展開用!$D$2:$D$601,MATCH(ROW()-1,展開用!$E$2:$E$601,0)),"")</f>
        <v/>
      </c>
      <c r="J258" s="11"/>
      <c r="K258" s="11"/>
      <c r="L258" s="11" t="str">
        <f>IF(AND(ROW()-1&lt;=教室申込!$K$5,教室申込!$K$7=0,COUNTA(教室申込!$C$4)=1),INDEX(教室申込!$B$1:$B$212,$AW258),"")</f>
        <v/>
      </c>
      <c r="M258" s="11" t="str">
        <f>IF(AND(ROW()-1&lt;=教室申込!$K$5,教室申込!$K$7=0,COUNTA(教室申込!$C$4)=1),INDEX(教室申込!$C$1:$C$212,$AW258),"")</f>
        <v/>
      </c>
      <c r="N258" s="11"/>
      <c r="O258" s="12" t="str">
        <f>IF(AND(ROW()-1&lt;=教室申込!$K$5,教室申込!$K$7=0,COUNTA(教室申込!$C$4)=1),INDEX(展開用!$G$2:$G$601,MATCH(ROW()-1,展開用!$E$2:$E$601,0)),"")</f>
        <v/>
      </c>
      <c r="P258" s="11"/>
      <c r="Q258" s="11"/>
      <c r="R258" s="11"/>
      <c r="S258" s="11"/>
      <c r="T258" s="11"/>
      <c r="U258" s="11" t="str">
        <f>IF(AND(ROW()-1&lt;=教室申込!$K$5,教室申込!$K$7=0,COUNTA(教室申込!$C$4)=1),INDEX(展開用!$F$2:$F$601,MATCH(ROW()-1,展開用!$E$2:$E$601,0)),"")</f>
        <v/>
      </c>
      <c r="V258" s="11"/>
      <c r="W258" s="11"/>
      <c r="X258" s="11"/>
      <c r="Y258" s="11"/>
      <c r="Z258" s="11"/>
      <c r="AA258" s="11" t="str">
        <f>IF($AW258="","",IF(INDEX(教室申込!$J$1:$J$212,$AW258)="","",INDEX(教室申込!$J$1:$J$212,$AW258)))</f>
        <v/>
      </c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" t="str">
        <f>IF(AND(ROW()-1&lt;=教室申込!$K$5,教室申込!$K$7=0,COUNTA(教室申込!$C$4)=1),INDEX(展開用!$B$2:$B$601,MATCH(ROW()-1,展開用!$E$2:$E$601,0)),"")</f>
        <v/>
      </c>
      <c r="AX258" s="1"/>
      <c r="AY258" s="1"/>
    </row>
    <row r="259" spans="1:51" ht="24" customHeight="1">
      <c r="A259" s="11"/>
      <c r="B259" s="11"/>
      <c r="C259" s="11"/>
      <c r="D259" s="11"/>
      <c r="E259" s="11"/>
      <c r="F259" s="11"/>
      <c r="G259" s="11"/>
      <c r="H259" s="11" t="str">
        <f>IF(AND(ROW()-1&lt;=教室申込!$K$5,教室申込!$K$7=0,COUNTA(教室申込!$C$4)=1),INDEX(展開用!$C$2:$C$601,MATCH(ROW()-1,展開用!$E$2:$E$601,0)),"")</f>
        <v/>
      </c>
      <c r="I259" s="11" t="str">
        <f>IF(AND(ROW()-1&lt;=教室申込!$K$5,教室申込!$K$7=0,COUNTA(教室申込!$C$4)=1),INDEX(展開用!$D$2:$D$601,MATCH(ROW()-1,展開用!$E$2:$E$601,0)),"")</f>
        <v/>
      </c>
      <c r="J259" s="11"/>
      <c r="K259" s="11"/>
      <c r="L259" s="11" t="str">
        <f>IF(AND(ROW()-1&lt;=教室申込!$K$5,教室申込!$K$7=0,COUNTA(教室申込!$C$4)=1),INDEX(教室申込!$B$1:$B$212,$AW259),"")</f>
        <v/>
      </c>
      <c r="M259" s="11" t="str">
        <f>IF(AND(ROW()-1&lt;=教室申込!$K$5,教室申込!$K$7=0,COUNTA(教室申込!$C$4)=1),INDEX(教室申込!$C$1:$C$212,$AW259),"")</f>
        <v/>
      </c>
      <c r="N259" s="11"/>
      <c r="O259" s="12" t="str">
        <f>IF(AND(ROW()-1&lt;=教室申込!$K$5,教室申込!$K$7=0,COUNTA(教室申込!$C$4)=1),INDEX(展開用!$G$2:$G$601,MATCH(ROW()-1,展開用!$E$2:$E$601,0)),"")</f>
        <v/>
      </c>
      <c r="P259" s="11"/>
      <c r="Q259" s="11"/>
      <c r="R259" s="11"/>
      <c r="S259" s="11"/>
      <c r="T259" s="11"/>
      <c r="U259" s="11" t="str">
        <f>IF(AND(ROW()-1&lt;=教室申込!$K$5,教室申込!$K$7=0,COUNTA(教室申込!$C$4)=1),INDEX(展開用!$F$2:$F$601,MATCH(ROW()-1,展開用!$E$2:$E$601,0)),"")</f>
        <v/>
      </c>
      <c r="V259" s="11"/>
      <c r="W259" s="11"/>
      <c r="X259" s="11"/>
      <c r="Y259" s="11"/>
      <c r="Z259" s="11"/>
      <c r="AA259" s="11" t="str">
        <f>IF($AW259="","",IF(INDEX(教室申込!$J$1:$J$212,$AW259)="","",INDEX(教室申込!$J$1:$J$212,$AW259)))</f>
        <v/>
      </c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" t="str">
        <f>IF(AND(ROW()-1&lt;=教室申込!$K$5,教室申込!$K$7=0,COUNTA(教室申込!$C$4)=1),INDEX(展開用!$B$2:$B$601,MATCH(ROW()-1,展開用!$E$2:$E$601,0)),"")</f>
        <v/>
      </c>
      <c r="AX259" s="1"/>
      <c r="AY259" s="1"/>
    </row>
    <row r="260" spans="1:51" ht="24" customHeight="1">
      <c r="A260" s="11"/>
      <c r="B260" s="11"/>
      <c r="C260" s="11"/>
      <c r="D260" s="11"/>
      <c r="E260" s="11"/>
      <c r="F260" s="11"/>
      <c r="G260" s="11"/>
      <c r="H260" s="11" t="str">
        <f>IF(AND(ROW()-1&lt;=教室申込!$K$5,教室申込!$K$7=0,COUNTA(教室申込!$C$4)=1),INDEX(展開用!$C$2:$C$601,MATCH(ROW()-1,展開用!$E$2:$E$601,0)),"")</f>
        <v/>
      </c>
      <c r="I260" s="11" t="str">
        <f>IF(AND(ROW()-1&lt;=教室申込!$K$5,教室申込!$K$7=0,COUNTA(教室申込!$C$4)=1),INDEX(展開用!$D$2:$D$601,MATCH(ROW()-1,展開用!$E$2:$E$601,0)),"")</f>
        <v/>
      </c>
      <c r="J260" s="11"/>
      <c r="K260" s="11"/>
      <c r="L260" s="11" t="str">
        <f>IF(AND(ROW()-1&lt;=教室申込!$K$5,教室申込!$K$7=0,COUNTA(教室申込!$C$4)=1),INDEX(教室申込!$B$1:$B$212,$AW260),"")</f>
        <v/>
      </c>
      <c r="M260" s="11" t="str">
        <f>IF(AND(ROW()-1&lt;=教室申込!$K$5,教室申込!$K$7=0,COUNTA(教室申込!$C$4)=1),INDEX(教室申込!$C$1:$C$212,$AW260),"")</f>
        <v/>
      </c>
      <c r="N260" s="11"/>
      <c r="O260" s="12" t="str">
        <f>IF(AND(ROW()-1&lt;=教室申込!$K$5,教室申込!$K$7=0,COUNTA(教室申込!$C$4)=1),INDEX(展開用!$G$2:$G$601,MATCH(ROW()-1,展開用!$E$2:$E$601,0)),"")</f>
        <v/>
      </c>
      <c r="P260" s="11"/>
      <c r="Q260" s="11"/>
      <c r="R260" s="11"/>
      <c r="S260" s="11"/>
      <c r="T260" s="11"/>
      <c r="U260" s="11" t="str">
        <f>IF(AND(ROW()-1&lt;=教室申込!$K$5,教室申込!$K$7=0,COUNTA(教室申込!$C$4)=1),INDEX(展開用!$F$2:$F$601,MATCH(ROW()-1,展開用!$E$2:$E$601,0)),"")</f>
        <v/>
      </c>
      <c r="V260" s="11"/>
      <c r="W260" s="11"/>
      <c r="X260" s="11"/>
      <c r="Y260" s="11"/>
      <c r="Z260" s="11"/>
      <c r="AA260" s="11" t="str">
        <f>IF($AW260="","",IF(INDEX(教室申込!$J$1:$J$212,$AW260)="","",INDEX(教室申込!$J$1:$J$212,$AW260)))</f>
        <v/>
      </c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" t="str">
        <f>IF(AND(ROW()-1&lt;=教室申込!$K$5,教室申込!$K$7=0,COUNTA(教室申込!$C$4)=1),INDEX(展開用!$B$2:$B$601,MATCH(ROW()-1,展開用!$E$2:$E$601,0)),"")</f>
        <v/>
      </c>
      <c r="AX260" s="1"/>
      <c r="AY260" s="1"/>
    </row>
    <row r="261" spans="1:51" ht="24" customHeight="1">
      <c r="A261" s="11"/>
      <c r="B261" s="11"/>
      <c r="C261" s="11"/>
      <c r="D261" s="11"/>
      <c r="E261" s="11"/>
      <c r="F261" s="11"/>
      <c r="G261" s="11"/>
      <c r="H261" s="11" t="str">
        <f>IF(AND(ROW()-1&lt;=教室申込!$K$5,教室申込!$K$7=0,COUNTA(教室申込!$C$4)=1),INDEX(展開用!$C$2:$C$601,MATCH(ROW()-1,展開用!$E$2:$E$601,0)),"")</f>
        <v/>
      </c>
      <c r="I261" s="11" t="str">
        <f>IF(AND(ROW()-1&lt;=教室申込!$K$5,教室申込!$K$7=0,COUNTA(教室申込!$C$4)=1),INDEX(展開用!$D$2:$D$601,MATCH(ROW()-1,展開用!$E$2:$E$601,0)),"")</f>
        <v/>
      </c>
      <c r="J261" s="11"/>
      <c r="K261" s="11"/>
      <c r="L261" s="11" t="str">
        <f>IF(AND(ROW()-1&lt;=教室申込!$K$5,教室申込!$K$7=0,COUNTA(教室申込!$C$4)=1),INDEX(教室申込!$B$1:$B$212,$AW261),"")</f>
        <v/>
      </c>
      <c r="M261" s="11" t="str">
        <f>IF(AND(ROW()-1&lt;=教室申込!$K$5,教室申込!$K$7=0,COUNTA(教室申込!$C$4)=1),INDEX(教室申込!$C$1:$C$212,$AW261),"")</f>
        <v/>
      </c>
      <c r="N261" s="11"/>
      <c r="O261" s="12" t="str">
        <f>IF(AND(ROW()-1&lt;=教室申込!$K$5,教室申込!$K$7=0,COUNTA(教室申込!$C$4)=1),INDEX(展開用!$G$2:$G$601,MATCH(ROW()-1,展開用!$E$2:$E$601,0)),"")</f>
        <v/>
      </c>
      <c r="P261" s="11"/>
      <c r="Q261" s="11"/>
      <c r="R261" s="11"/>
      <c r="S261" s="11"/>
      <c r="T261" s="11"/>
      <c r="U261" s="11" t="str">
        <f>IF(AND(ROW()-1&lt;=教室申込!$K$5,教室申込!$K$7=0,COUNTA(教室申込!$C$4)=1),INDEX(展開用!$F$2:$F$601,MATCH(ROW()-1,展開用!$E$2:$E$601,0)),"")</f>
        <v/>
      </c>
      <c r="V261" s="11"/>
      <c r="W261" s="11"/>
      <c r="X261" s="11"/>
      <c r="Y261" s="11"/>
      <c r="Z261" s="11"/>
      <c r="AA261" s="11" t="str">
        <f>IF($AW261="","",IF(INDEX(教室申込!$J$1:$J$212,$AW261)="","",INDEX(教室申込!$J$1:$J$212,$AW261)))</f>
        <v/>
      </c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" t="str">
        <f>IF(AND(ROW()-1&lt;=教室申込!$K$5,教室申込!$K$7=0,COUNTA(教室申込!$C$4)=1),INDEX(展開用!$B$2:$B$601,MATCH(ROW()-1,展開用!$E$2:$E$601,0)),"")</f>
        <v/>
      </c>
      <c r="AX261" s="1"/>
      <c r="AY261" s="1"/>
    </row>
    <row r="262" spans="1:51" ht="24" customHeight="1">
      <c r="A262" s="11"/>
      <c r="B262" s="11"/>
      <c r="C262" s="11"/>
      <c r="D262" s="11"/>
      <c r="E262" s="11"/>
      <c r="F262" s="11"/>
      <c r="G262" s="11"/>
      <c r="H262" s="11" t="str">
        <f>IF(AND(ROW()-1&lt;=教室申込!$K$5,教室申込!$K$7=0,COUNTA(教室申込!$C$4)=1),INDEX(展開用!$C$2:$C$601,MATCH(ROW()-1,展開用!$E$2:$E$601,0)),"")</f>
        <v/>
      </c>
      <c r="I262" s="11" t="str">
        <f>IF(AND(ROW()-1&lt;=教室申込!$K$5,教室申込!$K$7=0,COUNTA(教室申込!$C$4)=1),INDEX(展開用!$D$2:$D$601,MATCH(ROW()-1,展開用!$E$2:$E$601,0)),"")</f>
        <v/>
      </c>
      <c r="J262" s="11"/>
      <c r="K262" s="11"/>
      <c r="L262" s="11" t="str">
        <f>IF(AND(ROW()-1&lt;=教室申込!$K$5,教室申込!$K$7=0,COUNTA(教室申込!$C$4)=1),INDEX(教室申込!$B$1:$B$212,$AW262),"")</f>
        <v/>
      </c>
      <c r="M262" s="11" t="str">
        <f>IF(AND(ROW()-1&lt;=教室申込!$K$5,教室申込!$K$7=0,COUNTA(教室申込!$C$4)=1),INDEX(教室申込!$C$1:$C$212,$AW262),"")</f>
        <v/>
      </c>
      <c r="N262" s="11"/>
      <c r="O262" s="12" t="str">
        <f>IF(AND(ROW()-1&lt;=教室申込!$K$5,教室申込!$K$7=0,COUNTA(教室申込!$C$4)=1),INDEX(展開用!$G$2:$G$601,MATCH(ROW()-1,展開用!$E$2:$E$601,0)),"")</f>
        <v/>
      </c>
      <c r="P262" s="11"/>
      <c r="Q262" s="11"/>
      <c r="R262" s="11"/>
      <c r="S262" s="11"/>
      <c r="T262" s="11"/>
      <c r="U262" s="11" t="str">
        <f>IF(AND(ROW()-1&lt;=教室申込!$K$5,教室申込!$K$7=0,COUNTA(教室申込!$C$4)=1),INDEX(展開用!$F$2:$F$601,MATCH(ROW()-1,展開用!$E$2:$E$601,0)),"")</f>
        <v/>
      </c>
      <c r="V262" s="11"/>
      <c r="W262" s="11"/>
      <c r="X262" s="11"/>
      <c r="Y262" s="11"/>
      <c r="Z262" s="11"/>
      <c r="AA262" s="11" t="str">
        <f>IF($AW262="","",IF(INDEX(教室申込!$J$1:$J$212,$AW262)="","",INDEX(教室申込!$J$1:$J$212,$AW262)))</f>
        <v/>
      </c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" t="str">
        <f>IF(AND(ROW()-1&lt;=教室申込!$K$5,教室申込!$K$7=0,COUNTA(教室申込!$C$4)=1),INDEX(展開用!$B$2:$B$601,MATCH(ROW()-1,展開用!$E$2:$E$601,0)),"")</f>
        <v/>
      </c>
      <c r="AX262" s="1"/>
      <c r="AY262" s="1"/>
    </row>
    <row r="263" spans="1:51" ht="24" customHeight="1">
      <c r="A263" s="11"/>
      <c r="B263" s="11"/>
      <c r="C263" s="11"/>
      <c r="D263" s="11"/>
      <c r="E263" s="11"/>
      <c r="F263" s="11"/>
      <c r="G263" s="11"/>
      <c r="H263" s="11" t="str">
        <f>IF(AND(ROW()-1&lt;=教室申込!$K$5,教室申込!$K$7=0,COUNTA(教室申込!$C$4)=1),INDEX(展開用!$C$2:$C$601,MATCH(ROW()-1,展開用!$E$2:$E$601,0)),"")</f>
        <v/>
      </c>
      <c r="I263" s="11" t="str">
        <f>IF(AND(ROW()-1&lt;=教室申込!$K$5,教室申込!$K$7=0,COUNTA(教室申込!$C$4)=1),INDEX(展開用!$D$2:$D$601,MATCH(ROW()-1,展開用!$E$2:$E$601,0)),"")</f>
        <v/>
      </c>
      <c r="J263" s="11"/>
      <c r="K263" s="11"/>
      <c r="L263" s="11" t="str">
        <f>IF(AND(ROW()-1&lt;=教室申込!$K$5,教室申込!$K$7=0,COUNTA(教室申込!$C$4)=1),INDEX(教室申込!$B$1:$B$212,$AW263),"")</f>
        <v/>
      </c>
      <c r="M263" s="11" t="str">
        <f>IF(AND(ROW()-1&lt;=教室申込!$K$5,教室申込!$K$7=0,COUNTA(教室申込!$C$4)=1),INDEX(教室申込!$C$1:$C$212,$AW263),"")</f>
        <v/>
      </c>
      <c r="N263" s="11"/>
      <c r="O263" s="12" t="str">
        <f>IF(AND(ROW()-1&lt;=教室申込!$K$5,教室申込!$K$7=0,COUNTA(教室申込!$C$4)=1),INDEX(展開用!$G$2:$G$601,MATCH(ROW()-1,展開用!$E$2:$E$601,0)),"")</f>
        <v/>
      </c>
      <c r="P263" s="11"/>
      <c r="Q263" s="11"/>
      <c r="R263" s="11"/>
      <c r="S263" s="11"/>
      <c r="T263" s="11"/>
      <c r="U263" s="11" t="str">
        <f>IF(AND(ROW()-1&lt;=教室申込!$K$5,教室申込!$K$7=0,COUNTA(教室申込!$C$4)=1),INDEX(展開用!$F$2:$F$601,MATCH(ROW()-1,展開用!$E$2:$E$601,0)),"")</f>
        <v/>
      </c>
      <c r="V263" s="11"/>
      <c r="W263" s="11"/>
      <c r="X263" s="11"/>
      <c r="Y263" s="11"/>
      <c r="Z263" s="11"/>
      <c r="AA263" s="11" t="str">
        <f>IF($AW263="","",IF(INDEX(教室申込!$J$1:$J$212,$AW263)="","",INDEX(教室申込!$J$1:$J$212,$AW263)))</f>
        <v/>
      </c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" t="str">
        <f>IF(AND(ROW()-1&lt;=教室申込!$K$5,教室申込!$K$7=0,COUNTA(教室申込!$C$4)=1),INDEX(展開用!$B$2:$B$601,MATCH(ROW()-1,展開用!$E$2:$E$601,0)),"")</f>
        <v/>
      </c>
      <c r="AX263" s="1"/>
      <c r="AY263" s="1"/>
    </row>
    <row r="264" spans="1:51" ht="24" customHeight="1">
      <c r="A264" s="11"/>
      <c r="B264" s="11"/>
      <c r="C264" s="11"/>
      <c r="D264" s="11"/>
      <c r="E264" s="11"/>
      <c r="F264" s="11"/>
      <c r="G264" s="11"/>
      <c r="H264" s="11" t="str">
        <f>IF(AND(ROW()-1&lt;=教室申込!$K$5,教室申込!$K$7=0,COUNTA(教室申込!$C$4)=1),INDEX(展開用!$C$2:$C$601,MATCH(ROW()-1,展開用!$E$2:$E$601,0)),"")</f>
        <v/>
      </c>
      <c r="I264" s="11" t="str">
        <f>IF(AND(ROW()-1&lt;=教室申込!$K$5,教室申込!$K$7=0,COUNTA(教室申込!$C$4)=1),INDEX(展開用!$D$2:$D$601,MATCH(ROW()-1,展開用!$E$2:$E$601,0)),"")</f>
        <v/>
      </c>
      <c r="J264" s="11"/>
      <c r="K264" s="11"/>
      <c r="L264" s="11" t="str">
        <f>IF(AND(ROW()-1&lt;=教室申込!$K$5,教室申込!$K$7=0,COUNTA(教室申込!$C$4)=1),INDEX(教室申込!$B$1:$B$212,$AW264),"")</f>
        <v/>
      </c>
      <c r="M264" s="11" t="str">
        <f>IF(AND(ROW()-1&lt;=教室申込!$K$5,教室申込!$K$7=0,COUNTA(教室申込!$C$4)=1),INDEX(教室申込!$C$1:$C$212,$AW264),"")</f>
        <v/>
      </c>
      <c r="N264" s="11"/>
      <c r="O264" s="12" t="str">
        <f>IF(AND(ROW()-1&lt;=教室申込!$K$5,教室申込!$K$7=0,COUNTA(教室申込!$C$4)=1),INDEX(展開用!$G$2:$G$601,MATCH(ROW()-1,展開用!$E$2:$E$601,0)),"")</f>
        <v/>
      </c>
      <c r="P264" s="11"/>
      <c r="Q264" s="11"/>
      <c r="R264" s="11"/>
      <c r="S264" s="11"/>
      <c r="T264" s="11"/>
      <c r="U264" s="11" t="str">
        <f>IF(AND(ROW()-1&lt;=教室申込!$K$5,教室申込!$K$7=0,COUNTA(教室申込!$C$4)=1),INDEX(展開用!$F$2:$F$601,MATCH(ROW()-1,展開用!$E$2:$E$601,0)),"")</f>
        <v/>
      </c>
      <c r="V264" s="11"/>
      <c r="W264" s="11"/>
      <c r="X264" s="11"/>
      <c r="Y264" s="11"/>
      <c r="Z264" s="11"/>
      <c r="AA264" s="11" t="str">
        <f>IF($AW264="","",IF(INDEX(教室申込!$J$1:$J$212,$AW264)="","",INDEX(教室申込!$J$1:$J$212,$AW264)))</f>
        <v/>
      </c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" t="str">
        <f>IF(AND(ROW()-1&lt;=教室申込!$K$5,教室申込!$K$7=0,COUNTA(教室申込!$C$4)=1),INDEX(展開用!$B$2:$B$601,MATCH(ROW()-1,展開用!$E$2:$E$601,0)),"")</f>
        <v/>
      </c>
      <c r="AX264" s="1"/>
      <c r="AY264" s="1"/>
    </row>
    <row r="265" spans="1:51" ht="24" customHeight="1">
      <c r="A265" s="11"/>
      <c r="B265" s="11"/>
      <c r="C265" s="11"/>
      <c r="D265" s="11"/>
      <c r="E265" s="11"/>
      <c r="F265" s="11"/>
      <c r="G265" s="11"/>
      <c r="H265" s="11" t="str">
        <f>IF(AND(ROW()-1&lt;=教室申込!$K$5,教室申込!$K$7=0,COUNTA(教室申込!$C$4)=1),INDEX(展開用!$C$2:$C$601,MATCH(ROW()-1,展開用!$E$2:$E$601,0)),"")</f>
        <v/>
      </c>
      <c r="I265" s="11" t="str">
        <f>IF(AND(ROW()-1&lt;=教室申込!$K$5,教室申込!$K$7=0,COUNTA(教室申込!$C$4)=1),INDEX(展開用!$D$2:$D$601,MATCH(ROW()-1,展開用!$E$2:$E$601,0)),"")</f>
        <v/>
      </c>
      <c r="J265" s="11"/>
      <c r="K265" s="11"/>
      <c r="L265" s="11" t="str">
        <f>IF(AND(ROW()-1&lt;=教室申込!$K$5,教室申込!$K$7=0,COUNTA(教室申込!$C$4)=1),INDEX(教室申込!$B$1:$B$212,$AW265),"")</f>
        <v/>
      </c>
      <c r="M265" s="11" t="str">
        <f>IF(AND(ROW()-1&lt;=教室申込!$K$5,教室申込!$K$7=0,COUNTA(教室申込!$C$4)=1),INDEX(教室申込!$C$1:$C$212,$AW265),"")</f>
        <v/>
      </c>
      <c r="N265" s="11"/>
      <c r="O265" s="12" t="str">
        <f>IF(AND(ROW()-1&lt;=教室申込!$K$5,教室申込!$K$7=0,COUNTA(教室申込!$C$4)=1),INDEX(展開用!$G$2:$G$601,MATCH(ROW()-1,展開用!$E$2:$E$601,0)),"")</f>
        <v/>
      </c>
      <c r="P265" s="11"/>
      <c r="Q265" s="11"/>
      <c r="R265" s="11"/>
      <c r="S265" s="11"/>
      <c r="T265" s="11"/>
      <c r="U265" s="11" t="str">
        <f>IF(AND(ROW()-1&lt;=教室申込!$K$5,教室申込!$K$7=0,COUNTA(教室申込!$C$4)=1),INDEX(展開用!$F$2:$F$601,MATCH(ROW()-1,展開用!$E$2:$E$601,0)),"")</f>
        <v/>
      </c>
      <c r="V265" s="11"/>
      <c r="W265" s="11"/>
      <c r="X265" s="11"/>
      <c r="Y265" s="11"/>
      <c r="Z265" s="11"/>
      <c r="AA265" s="11" t="str">
        <f>IF($AW265="","",IF(INDEX(教室申込!$J$1:$J$212,$AW265)="","",INDEX(教室申込!$J$1:$J$212,$AW265)))</f>
        <v/>
      </c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" t="str">
        <f>IF(AND(ROW()-1&lt;=教室申込!$K$5,教室申込!$K$7=0,COUNTA(教室申込!$C$4)=1),INDEX(展開用!$B$2:$B$601,MATCH(ROW()-1,展開用!$E$2:$E$601,0)),"")</f>
        <v/>
      </c>
      <c r="AX265" s="1"/>
      <c r="AY265" s="1"/>
    </row>
    <row r="266" spans="1:51" ht="24" customHeight="1">
      <c r="A266" s="11"/>
      <c r="B266" s="11"/>
      <c r="C266" s="11"/>
      <c r="D266" s="11"/>
      <c r="E266" s="11"/>
      <c r="F266" s="11"/>
      <c r="G266" s="11"/>
      <c r="H266" s="11" t="str">
        <f>IF(AND(ROW()-1&lt;=教室申込!$K$5,教室申込!$K$7=0,COUNTA(教室申込!$C$4)=1),INDEX(展開用!$C$2:$C$601,MATCH(ROW()-1,展開用!$E$2:$E$601,0)),"")</f>
        <v/>
      </c>
      <c r="I266" s="11" t="str">
        <f>IF(AND(ROW()-1&lt;=教室申込!$K$5,教室申込!$K$7=0,COUNTA(教室申込!$C$4)=1),INDEX(展開用!$D$2:$D$601,MATCH(ROW()-1,展開用!$E$2:$E$601,0)),"")</f>
        <v/>
      </c>
      <c r="J266" s="11"/>
      <c r="K266" s="11"/>
      <c r="L266" s="11" t="str">
        <f>IF(AND(ROW()-1&lt;=教室申込!$K$5,教室申込!$K$7=0,COUNTA(教室申込!$C$4)=1),INDEX(教室申込!$B$1:$B$212,$AW266),"")</f>
        <v/>
      </c>
      <c r="M266" s="11" t="str">
        <f>IF(AND(ROW()-1&lt;=教室申込!$K$5,教室申込!$K$7=0,COUNTA(教室申込!$C$4)=1),INDEX(教室申込!$C$1:$C$212,$AW266),"")</f>
        <v/>
      </c>
      <c r="N266" s="11"/>
      <c r="O266" s="12" t="str">
        <f>IF(AND(ROW()-1&lt;=教室申込!$K$5,教室申込!$K$7=0,COUNTA(教室申込!$C$4)=1),INDEX(展開用!$G$2:$G$601,MATCH(ROW()-1,展開用!$E$2:$E$601,0)),"")</f>
        <v/>
      </c>
      <c r="P266" s="11"/>
      <c r="Q266" s="11"/>
      <c r="R266" s="11"/>
      <c r="S266" s="11"/>
      <c r="T266" s="11"/>
      <c r="U266" s="11" t="str">
        <f>IF(AND(ROW()-1&lt;=教室申込!$K$5,教室申込!$K$7=0,COUNTA(教室申込!$C$4)=1),INDEX(展開用!$F$2:$F$601,MATCH(ROW()-1,展開用!$E$2:$E$601,0)),"")</f>
        <v/>
      </c>
      <c r="V266" s="11"/>
      <c r="W266" s="11"/>
      <c r="X266" s="11"/>
      <c r="Y266" s="11"/>
      <c r="Z266" s="11"/>
      <c r="AA266" s="11" t="str">
        <f>IF($AW266="","",IF(INDEX(教室申込!$J$1:$J$212,$AW266)="","",INDEX(教室申込!$J$1:$J$212,$AW266)))</f>
        <v/>
      </c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" t="str">
        <f>IF(AND(ROW()-1&lt;=教室申込!$K$5,教室申込!$K$7=0,COUNTA(教室申込!$C$4)=1),INDEX(展開用!$B$2:$B$601,MATCH(ROW()-1,展開用!$E$2:$E$601,0)),"")</f>
        <v/>
      </c>
      <c r="AX266" s="1"/>
      <c r="AY266" s="1"/>
    </row>
    <row r="267" spans="1:51" ht="24" customHeight="1">
      <c r="A267" s="11"/>
      <c r="B267" s="11"/>
      <c r="C267" s="11"/>
      <c r="D267" s="11"/>
      <c r="E267" s="11"/>
      <c r="F267" s="11"/>
      <c r="G267" s="11"/>
      <c r="H267" s="11" t="str">
        <f>IF(AND(ROW()-1&lt;=教室申込!$K$5,教室申込!$K$7=0,COUNTA(教室申込!$C$4)=1),INDEX(展開用!$C$2:$C$601,MATCH(ROW()-1,展開用!$E$2:$E$601,0)),"")</f>
        <v/>
      </c>
      <c r="I267" s="11" t="str">
        <f>IF(AND(ROW()-1&lt;=教室申込!$K$5,教室申込!$K$7=0,COUNTA(教室申込!$C$4)=1),INDEX(展開用!$D$2:$D$601,MATCH(ROW()-1,展開用!$E$2:$E$601,0)),"")</f>
        <v/>
      </c>
      <c r="J267" s="11"/>
      <c r="K267" s="11"/>
      <c r="L267" s="11" t="str">
        <f>IF(AND(ROW()-1&lt;=教室申込!$K$5,教室申込!$K$7=0,COUNTA(教室申込!$C$4)=1),INDEX(教室申込!$B$1:$B$212,$AW267),"")</f>
        <v/>
      </c>
      <c r="M267" s="11" t="str">
        <f>IF(AND(ROW()-1&lt;=教室申込!$K$5,教室申込!$K$7=0,COUNTA(教室申込!$C$4)=1),INDEX(教室申込!$C$1:$C$212,$AW267),"")</f>
        <v/>
      </c>
      <c r="N267" s="11"/>
      <c r="O267" s="12" t="str">
        <f>IF(AND(ROW()-1&lt;=教室申込!$K$5,教室申込!$K$7=0,COUNTA(教室申込!$C$4)=1),INDEX(展開用!$G$2:$G$601,MATCH(ROW()-1,展開用!$E$2:$E$601,0)),"")</f>
        <v/>
      </c>
      <c r="P267" s="11"/>
      <c r="Q267" s="11"/>
      <c r="R267" s="11"/>
      <c r="S267" s="11"/>
      <c r="T267" s="11"/>
      <c r="U267" s="11" t="str">
        <f>IF(AND(ROW()-1&lt;=教室申込!$K$5,教室申込!$K$7=0,COUNTA(教室申込!$C$4)=1),INDEX(展開用!$F$2:$F$601,MATCH(ROW()-1,展開用!$E$2:$E$601,0)),"")</f>
        <v/>
      </c>
      <c r="V267" s="11"/>
      <c r="W267" s="11"/>
      <c r="X267" s="11"/>
      <c r="Y267" s="11"/>
      <c r="Z267" s="11"/>
      <c r="AA267" s="11" t="str">
        <f>IF($AW267="","",IF(INDEX(教室申込!$J$1:$J$212,$AW267)="","",INDEX(教室申込!$J$1:$J$212,$AW267)))</f>
        <v/>
      </c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" t="str">
        <f>IF(AND(ROW()-1&lt;=教室申込!$K$5,教室申込!$K$7=0,COUNTA(教室申込!$C$4)=1),INDEX(展開用!$B$2:$B$601,MATCH(ROW()-1,展開用!$E$2:$E$601,0)),"")</f>
        <v/>
      </c>
      <c r="AX267" s="1"/>
      <c r="AY267" s="1"/>
    </row>
    <row r="268" spans="1:51" ht="24" customHeight="1">
      <c r="A268" s="11"/>
      <c r="B268" s="11"/>
      <c r="C268" s="11"/>
      <c r="D268" s="11"/>
      <c r="E268" s="11"/>
      <c r="F268" s="11"/>
      <c r="G268" s="11"/>
      <c r="H268" s="11" t="str">
        <f>IF(AND(ROW()-1&lt;=教室申込!$K$5,教室申込!$K$7=0,COUNTA(教室申込!$C$4)=1),INDEX(展開用!$C$2:$C$601,MATCH(ROW()-1,展開用!$E$2:$E$601,0)),"")</f>
        <v/>
      </c>
      <c r="I268" s="11" t="str">
        <f>IF(AND(ROW()-1&lt;=教室申込!$K$5,教室申込!$K$7=0,COUNTA(教室申込!$C$4)=1),INDEX(展開用!$D$2:$D$601,MATCH(ROW()-1,展開用!$E$2:$E$601,0)),"")</f>
        <v/>
      </c>
      <c r="J268" s="11"/>
      <c r="K268" s="11"/>
      <c r="L268" s="11" t="str">
        <f>IF(AND(ROW()-1&lt;=教室申込!$K$5,教室申込!$K$7=0,COUNTA(教室申込!$C$4)=1),INDEX(教室申込!$B$1:$B$212,$AW268),"")</f>
        <v/>
      </c>
      <c r="M268" s="11" t="str">
        <f>IF(AND(ROW()-1&lt;=教室申込!$K$5,教室申込!$K$7=0,COUNTA(教室申込!$C$4)=1),INDEX(教室申込!$C$1:$C$212,$AW268),"")</f>
        <v/>
      </c>
      <c r="N268" s="11"/>
      <c r="O268" s="12" t="str">
        <f>IF(AND(ROW()-1&lt;=教室申込!$K$5,教室申込!$K$7=0,COUNTA(教室申込!$C$4)=1),INDEX(展開用!$G$2:$G$601,MATCH(ROW()-1,展開用!$E$2:$E$601,0)),"")</f>
        <v/>
      </c>
      <c r="P268" s="11"/>
      <c r="Q268" s="11"/>
      <c r="R268" s="11"/>
      <c r="S268" s="11"/>
      <c r="T268" s="11"/>
      <c r="U268" s="11" t="str">
        <f>IF(AND(ROW()-1&lt;=教室申込!$K$5,教室申込!$K$7=0,COUNTA(教室申込!$C$4)=1),INDEX(展開用!$F$2:$F$601,MATCH(ROW()-1,展開用!$E$2:$E$601,0)),"")</f>
        <v/>
      </c>
      <c r="V268" s="11"/>
      <c r="W268" s="11"/>
      <c r="X268" s="11"/>
      <c r="Y268" s="11"/>
      <c r="Z268" s="11"/>
      <c r="AA268" s="11" t="str">
        <f>IF($AW268="","",IF(INDEX(教室申込!$J$1:$J$212,$AW268)="","",INDEX(教室申込!$J$1:$J$212,$AW268)))</f>
        <v/>
      </c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" t="str">
        <f>IF(AND(ROW()-1&lt;=教室申込!$K$5,教室申込!$K$7=0,COUNTA(教室申込!$C$4)=1),INDEX(展開用!$B$2:$B$601,MATCH(ROW()-1,展開用!$E$2:$E$601,0)),"")</f>
        <v/>
      </c>
      <c r="AX268" s="1"/>
      <c r="AY268" s="1"/>
    </row>
    <row r="269" spans="1:51" ht="24" customHeight="1">
      <c r="A269" s="11"/>
      <c r="B269" s="11"/>
      <c r="C269" s="11"/>
      <c r="D269" s="11"/>
      <c r="E269" s="11"/>
      <c r="F269" s="11"/>
      <c r="G269" s="11"/>
      <c r="H269" s="11" t="str">
        <f>IF(AND(ROW()-1&lt;=教室申込!$K$5,教室申込!$K$7=0,COUNTA(教室申込!$C$4)=1),INDEX(展開用!$C$2:$C$601,MATCH(ROW()-1,展開用!$E$2:$E$601,0)),"")</f>
        <v/>
      </c>
      <c r="I269" s="11" t="str">
        <f>IF(AND(ROW()-1&lt;=教室申込!$K$5,教室申込!$K$7=0,COUNTA(教室申込!$C$4)=1),INDEX(展開用!$D$2:$D$601,MATCH(ROW()-1,展開用!$E$2:$E$601,0)),"")</f>
        <v/>
      </c>
      <c r="J269" s="11"/>
      <c r="K269" s="11"/>
      <c r="L269" s="11" t="str">
        <f>IF(AND(ROW()-1&lt;=教室申込!$K$5,教室申込!$K$7=0,COUNTA(教室申込!$C$4)=1),INDEX(教室申込!$B$1:$B$212,$AW269),"")</f>
        <v/>
      </c>
      <c r="M269" s="11" t="str">
        <f>IF(AND(ROW()-1&lt;=教室申込!$K$5,教室申込!$K$7=0,COUNTA(教室申込!$C$4)=1),INDEX(教室申込!$C$1:$C$212,$AW269),"")</f>
        <v/>
      </c>
      <c r="N269" s="11"/>
      <c r="O269" s="12" t="str">
        <f>IF(AND(ROW()-1&lt;=教室申込!$K$5,教室申込!$K$7=0,COUNTA(教室申込!$C$4)=1),INDEX(展開用!$G$2:$G$601,MATCH(ROW()-1,展開用!$E$2:$E$601,0)),"")</f>
        <v/>
      </c>
      <c r="P269" s="11"/>
      <c r="Q269" s="11"/>
      <c r="R269" s="11"/>
      <c r="S269" s="11"/>
      <c r="T269" s="11"/>
      <c r="U269" s="11" t="str">
        <f>IF(AND(ROW()-1&lt;=教室申込!$K$5,教室申込!$K$7=0,COUNTA(教室申込!$C$4)=1),INDEX(展開用!$F$2:$F$601,MATCH(ROW()-1,展開用!$E$2:$E$601,0)),"")</f>
        <v/>
      </c>
      <c r="V269" s="11"/>
      <c r="W269" s="11"/>
      <c r="X269" s="11"/>
      <c r="Y269" s="11"/>
      <c r="Z269" s="11"/>
      <c r="AA269" s="11" t="str">
        <f>IF($AW269="","",IF(INDEX(教室申込!$J$1:$J$212,$AW269)="","",INDEX(教室申込!$J$1:$J$212,$AW269)))</f>
        <v/>
      </c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" t="str">
        <f>IF(AND(ROW()-1&lt;=教室申込!$K$5,教室申込!$K$7=0,COUNTA(教室申込!$C$4)=1),INDEX(展開用!$B$2:$B$601,MATCH(ROW()-1,展開用!$E$2:$E$601,0)),"")</f>
        <v/>
      </c>
      <c r="AX269" s="1"/>
      <c r="AY269" s="1"/>
    </row>
    <row r="270" spans="1:51" ht="24" customHeight="1">
      <c r="A270" s="11"/>
      <c r="B270" s="11"/>
      <c r="C270" s="11"/>
      <c r="D270" s="11"/>
      <c r="E270" s="11"/>
      <c r="F270" s="11"/>
      <c r="G270" s="11"/>
      <c r="H270" s="11" t="str">
        <f>IF(AND(ROW()-1&lt;=教室申込!$K$5,教室申込!$K$7=0,COUNTA(教室申込!$C$4)=1),INDEX(展開用!$C$2:$C$601,MATCH(ROW()-1,展開用!$E$2:$E$601,0)),"")</f>
        <v/>
      </c>
      <c r="I270" s="11" t="str">
        <f>IF(AND(ROW()-1&lt;=教室申込!$K$5,教室申込!$K$7=0,COUNTA(教室申込!$C$4)=1),INDEX(展開用!$D$2:$D$601,MATCH(ROW()-1,展開用!$E$2:$E$601,0)),"")</f>
        <v/>
      </c>
      <c r="J270" s="11"/>
      <c r="K270" s="11"/>
      <c r="L270" s="11" t="str">
        <f>IF(AND(ROW()-1&lt;=教室申込!$K$5,教室申込!$K$7=0,COUNTA(教室申込!$C$4)=1),INDEX(教室申込!$B$1:$B$212,$AW270),"")</f>
        <v/>
      </c>
      <c r="M270" s="11" t="str">
        <f>IF(AND(ROW()-1&lt;=教室申込!$K$5,教室申込!$K$7=0,COUNTA(教室申込!$C$4)=1),INDEX(教室申込!$C$1:$C$212,$AW270),"")</f>
        <v/>
      </c>
      <c r="N270" s="11"/>
      <c r="O270" s="12" t="str">
        <f>IF(AND(ROW()-1&lt;=教室申込!$K$5,教室申込!$K$7=0,COUNTA(教室申込!$C$4)=1),INDEX(展開用!$G$2:$G$601,MATCH(ROW()-1,展開用!$E$2:$E$601,0)),"")</f>
        <v/>
      </c>
      <c r="P270" s="11"/>
      <c r="Q270" s="11"/>
      <c r="R270" s="11"/>
      <c r="S270" s="11"/>
      <c r="T270" s="11"/>
      <c r="U270" s="11" t="str">
        <f>IF(AND(ROW()-1&lt;=教室申込!$K$5,教室申込!$K$7=0,COUNTA(教室申込!$C$4)=1),INDEX(展開用!$F$2:$F$601,MATCH(ROW()-1,展開用!$E$2:$E$601,0)),"")</f>
        <v/>
      </c>
      <c r="V270" s="11"/>
      <c r="W270" s="11"/>
      <c r="X270" s="11"/>
      <c r="Y270" s="11"/>
      <c r="Z270" s="11"/>
      <c r="AA270" s="11" t="str">
        <f>IF($AW270="","",IF(INDEX(教室申込!$J$1:$J$212,$AW270)="","",INDEX(教室申込!$J$1:$J$212,$AW270)))</f>
        <v/>
      </c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" t="str">
        <f>IF(AND(ROW()-1&lt;=教室申込!$K$5,教室申込!$K$7=0,COUNTA(教室申込!$C$4)=1),INDEX(展開用!$B$2:$B$601,MATCH(ROW()-1,展開用!$E$2:$E$601,0)),"")</f>
        <v/>
      </c>
      <c r="AX270" s="1"/>
      <c r="AY270" s="1"/>
    </row>
    <row r="271" spans="1:51" ht="24" customHeight="1">
      <c r="A271" s="11"/>
      <c r="B271" s="11"/>
      <c r="C271" s="11"/>
      <c r="D271" s="11"/>
      <c r="E271" s="11"/>
      <c r="F271" s="11"/>
      <c r="G271" s="11"/>
      <c r="H271" s="11" t="str">
        <f>IF(AND(ROW()-1&lt;=教室申込!$K$5,教室申込!$K$7=0,COUNTA(教室申込!$C$4)=1),INDEX(展開用!$C$2:$C$601,MATCH(ROW()-1,展開用!$E$2:$E$601,0)),"")</f>
        <v/>
      </c>
      <c r="I271" s="11" t="str">
        <f>IF(AND(ROW()-1&lt;=教室申込!$K$5,教室申込!$K$7=0,COUNTA(教室申込!$C$4)=1),INDEX(展開用!$D$2:$D$601,MATCH(ROW()-1,展開用!$E$2:$E$601,0)),"")</f>
        <v/>
      </c>
      <c r="J271" s="11"/>
      <c r="K271" s="11"/>
      <c r="L271" s="11" t="str">
        <f>IF(AND(ROW()-1&lt;=教室申込!$K$5,教室申込!$K$7=0,COUNTA(教室申込!$C$4)=1),INDEX(教室申込!$B$1:$B$212,$AW271),"")</f>
        <v/>
      </c>
      <c r="M271" s="11" t="str">
        <f>IF(AND(ROW()-1&lt;=教室申込!$K$5,教室申込!$K$7=0,COUNTA(教室申込!$C$4)=1),INDEX(教室申込!$C$1:$C$212,$AW271),"")</f>
        <v/>
      </c>
      <c r="N271" s="11"/>
      <c r="O271" s="12" t="str">
        <f>IF(AND(ROW()-1&lt;=教室申込!$K$5,教室申込!$K$7=0,COUNTA(教室申込!$C$4)=1),INDEX(展開用!$G$2:$G$601,MATCH(ROW()-1,展開用!$E$2:$E$601,0)),"")</f>
        <v/>
      </c>
      <c r="P271" s="11"/>
      <c r="Q271" s="11"/>
      <c r="R271" s="11"/>
      <c r="S271" s="11"/>
      <c r="T271" s="11"/>
      <c r="U271" s="11" t="str">
        <f>IF(AND(ROW()-1&lt;=教室申込!$K$5,教室申込!$K$7=0,COUNTA(教室申込!$C$4)=1),INDEX(展開用!$F$2:$F$601,MATCH(ROW()-1,展開用!$E$2:$E$601,0)),"")</f>
        <v/>
      </c>
      <c r="V271" s="11"/>
      <c r="W271" s="11"/>
      <c r="X271" s="11"/>
      <c r="Y271" s="11"/>
      <c r="Z271" s="11"/>
      <c r="AA271" s="11" t="str">
        <f>IF($AW271="","",IF(INDEX(教室申込!$J$1:$J$212,$AW271)="","",INDEX(教室申込!$J$1:$J$212,$AW271)))</f>
        <v/>
      </c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" t="str">
        <f>IF(AND(ROW()-1&lt;=教室申込!$K$5,教室申込!$K$7=0,COUNTA(教室申込!$C$4)=1),INDEX(展開用!$B$2:$B$601,MATCH(ROW()-1,展開用!$E$2:$E$601,0)),"")</f>
        <v/>
      </c>
      <c r="AX271" s="1"/>
      <c r="AY271" s="1"/>
    </row>
    <row r="272" spans="1:51" ht="24" customHeight="1">
      <c r="A272" s="11"/>
      <c r="B272" s="11"/>
      <c r="C272" s="11"/>
      <c r="D272" s="11"/>
      <c r="E272" s="11"/>
      <c r="F272" s="11"/>
      <c r="G272" s="11"/>
      <c r="H272" s="11" t="str">
        <f>IF(AND(ROW()-1&lt;=教室申込!$K$5,教室申込!$K$7=0,COUNTA(教室申込!$C$4)=1),INDEX(展開用!$C$2:$C$601,MATCH(ROW()-1,展開用!$E$2:$E$601,0)),"")</f>
        <v/>
      </c>
      <c r="I272" s="11" t="str">
        <f>IF(AND(ROW()-1&lt;=教室申込!$K$5,教室申込!$K$7=0,COUNTA(教室申込!$C$4)=1),INDEX(展開用!$D$2:$D$601,MATCH(ROW()-1,展開用!$E$2:$E$601,0)),"")</f>
        <v/>
      </c>
      <c r="J272" s="11"/>
      <c r="K272" s="11"/>
      <c r="L272" s="11" t="str">
        <f>IF(AND(ROW()-1&lt;=教室申込!$K$5,教室申込!$K$7=0,COUNTA(教室申込!$C$4)=1),INDEX(教室申込!$B$1:$B$212,$AW272),"")</f>
        <v/>
      </c>
      <c r="M272" s="11" t="str">
        <f>IF(AND(ROW()-1&lt;=教室申込!$K$5,教室申込!$K$7=0,COUNTA(教室申込!$C$4)=1),INDEX(教室申込!$C$1:$C$212,$AW272),"")</f>
        <v/>
      </c>
      <c r="N272" s="11"/>
      <c r="O272" s="12" t="str">
        <f>IF(AND(ROW()-1&lt;=教室申込!$K$5,教室申込!$K$7=0,COUNTA(教室申込!$C$4)=1),INDEX(展開用!$G$2:$G$601,MATCH(ROW()-1,展開用!$E$2:$E$601,0)),"")</f>
        <v/>
      </c>
      <c r="P272" s="11"/>
      <c r="Q272" s="11"/>
      <c r="R272" s="11"/>
      <c r="S272" s="11"/>
      <c r="T272" s="11"/>
      <c r="U272" s="11" t="str">
        <f>IF(AND(ROW()-1&lt;=教室申込!$K$5,教室申込!$K$7=0,COUNTA(教室申込!$C$4)=1),INDEX(展開用!$F$2:$F$601,MATCH(ROW()-1,展開用!$E$2:$E$601,0)),"")</f>
        <v/>
      </c>
      <c r="V272" s="11"/>
      <c r="W272" s="11"/>
      <c r="X272" s="11"/>
      <c r="Y272" s="11"/>
      <c r="Z272" s="11"/>
      <c r="AA272" s="11" t="str">
        <f>IF($AW272="","",IF(INDEX(教室申込!$J$1:$J$212,$AW272)="","",INDEX(教室申込!$J$1:$J$212,$AW272)))</f>
        <v/>
      </c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" t="str">
        <f>IF(AND(ROW()-1&lt;=教室申込!$K$5,教室申込!$K$7=0,COUNTA(教室申込!$C$4)=1),INDEX(展開用!$B$2:$B$601,MATCH(ROW()-1,展開用!$E$2:$E$601,0)),"")</f>
        <v/>
      </c>
      <c r="AX272" s="1"/>
      <c r="AY272" s="1"/>
    </row>
    <row r="273" spans="1:51" ht="24" customHeight="1">
      <c r="A273" s="11"/>
      <c r="B273" s="11"/>
      <c r="C273" s="11"/>
      <c r="D273" s="11"/>
      <c r="E273" s="11"/>
      <c r="F273" s="11"/>
      <c r="G273" s="11"/>
      <c r="H273" s="11" t="str">
        <f>IF(AND(ROW()-1&lt;=教室申込!$K$5,教室申込!$K$7=0,COUNTA(教室申込!$C$4)=1),INDEX(展開用!$C$2:$C$601,MATCH(ROW()-1,展開用!$E$2:$E$601,0)),"")</f>
        <v/>
      </c>
      <c r="I273" s="11" t="str">
        <f>IF(AND(ROW()-1&lt;=教室申込!$K$5,教室申込!$K$7=0,COUNTA(教室申込!$C$4)=1),INDEX(展開用!$D$2:$D$601,MATCH(ROW()-1,展開用!$E$2:$E$601,0)),"")</f>
        <v/>
      </c>
      <c r="J273" s="11"/>
      <c r="K273" s="11"/>
      <c r="L273" s="11" t="str">
        <f>IF(AND(ROW()-1&lt;=教室申込!$K$5,教室申込!$K$7=0,COUNTA(教室申込!$C$4)=1),INDEX(教室申込!$B$1:$B$212,$AW273),"")</f>
        <v/>
      </c>
      <c r="M273" s="11" t="str">
        <f>IF(AND(ROW()-1&lt;=教室申込!$K$5,教室申込!$K$7=0,COUNTA(教室申込!$C$4)=1),INDEX(教室申込!$C$1:$C$212,$AW273),"")</f>
        <v/>
      </c>
      <c r="N273" s="11"/>
      <c r="O273" s="12" t="str">
        <f>IF(AND(ROW()-1&lt;=教室申込!$K$5,教室申込!$K$7=0,COUNTA(教室申込!$C$4)=1),INDEX(展開用!$G$2:$G$601,MATCH(ROW()-1,展開用!$E$2:$E$601,0)),"")</f>
        <v/>
      </c>
      <c r="P273" s="11"/>
      <c r="Q273" s="11"/>
      <c r="R273" s="11"/>
      <c r="S273" s="11"/>
      <c r="T273" s="11"/>
      <c r="U273" s="11" t="str">
        <f>IF(AND(ROW()-1&lt;=教室申込!$K$5,教室申込!$K$7=0,COUNTA(教室申込!$C$4)=1),INDEX(展開用!$F$2:$F$601,MATCH(ROW()-1,展開用!$E$2:$E$601,0)),"")</f>
        <v/>
      </c>
      <c r="V273" s="11"/>
      <c r="W273" s="11"/>
      <c r="X273" s="11"/>
      <c r="Y273" s="11"/>
      <c r="Z273" s="11"/>
      <c r="AA273" s="11" t="str">
        <f>IF($AW273="","",IF(INDEX(教室申込!$J$1:$J$212,$AW273)="","",INDEX(教室申込!$J$1:$J$212,$AW273)))</f>
        <v/>
      </c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" t="str">
        <f>IF(AND(ROW()-1&lt;=教室申込!$K$5,教室申込!$K$7=0,COUNTA(教室申込!$C$4)=1),INDEX(展開用!$B$2:$B$601,MATCH(ROW()-1,展開用!$E$2:$E$601,0)),"")</f>
        <v/>
      </c>
      <c r="AX273" s="1"/>
      <c r="AY273" s="1"/>
    </row>
    <row r="274" spans="1:51" ht="24" customHeight="1">
      <c r="A274" s="11"/>
      <c r="B274" s="11"/>
      <c r="C274" s="11"/>
      <c r="D274" s="11"/>
      <c r="E274" s="11"/>
      <c r="F274" s="11"/>
      <c r="G274" s="11"/>
      <c r="H274" s="11" t="str">
        <f>IF(AND(ROW()-1&lt;=教室申込!$K$5,教室申込!$K$7=0,COUNTA(教室申込!$C$4)=1),INDEX(展開用!$C$2:$C$601,MATCH(ROW()-1,展開用!$E$2:$E$601,0)),"")</f>
        <v/>
      </c>
      <c r="I274" s="11" t="str">
        <f>IF(AND(ROW()-1&lt;=教室申込!$K$5,教室申込!$K$7=0,COUNTA(教室申込!$C$4)=1),INDEX(展開用!$D$2:$D$601,MATCH(ROW()-1,展開用!$E$2:$E$601,0)),"")</f>
        <v/>
      </c>
      <c r="J274" s="11"/>
      <c r="K274" s="11"/>
      <c r="L274" s="11" t="str">
        <f>IF(AND(ROW()-1&lt;=教室申込!$K$5,教室申込!$K$7=0,COUNTA(教室申込!$C$4)=1),INDEX(教室申込!$B$1:$B$212,$AW274),"")</f>
        <v/>
      </c>
      <c r="M274" s="11" t="str">
        <f>IF(AND(ROW()-1&lt;=教室申込!$K$5,教室申込!$K$7=0,COUNTA(教室申込!$C$4)=1),INDEX(教室申込!$C$1:$C$212,$AW274),"")</f>
        <v/>
      </c>
      <c r="N274" s="11"/>
      <c r="O274" s="12" t="str">
        <f>IF(AND(ROW()-1&lt;=教室申込!$K$5,教室申込!$K$7=0,COUNTA(教室申込!$C$4)=1),INDEX(展開用!$G$2:$G$601,MATCH(ROW()-1,展開用!$E$2:$E$601,0)),"")</f>
        <v/>
      </c>
      <c r="P274" s="11"/>
      <c r="Q274" s="11"/>
      <c r="R274" s="11"/>
      <c r="S274" s="11"/>
      <c r="T274" s="11"/>
      <c r="U274" s="11" t="str">
        <f>IF(AND(ROW()-1&lt;=教室申込!$K$5,教室申込!$K$7=0,COUNTA(教室申込!$C$4)=1),INDEX(展開用!$F$2:$F$601,MATCH(ROW()-1,展開用!$E$2:$E$601,0)),"")</f>
        <v/>
      </c>
      <c r="V274" s="11"/>
      <c r="W274" s="11"/>
      <c r="X274" s="11"/>
      <c r="Y274" s="11"/>
      <c r="Z274" s="11"/>
      <c r="AA274" s="11" t="str">
        <f>IF($AW274="","",IF(INDEX(教室申込!$J$1:$J$212,$AW274)="","",INDEX(教室申込!$J$1:$J$212,$AW274)))</f>
        <v/>
      </c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" t="str">
        <f>IF(AND(ROW()-1&lt;=教室申込!$K$5,教室申込!$K$7=0,COUNTA(教室申込!$C$4)=1),INDEX(展開用!$B$2:$B$601,MATCH(ROW()-1,展開用!$E$2:$E$601,0)),"")</f>
        <v/>
      </c>
      <c r="AX274" s="1"/>
      <c r="AY274" s="1"/>
    </row>
    <row r="275" spans="1:51" ht="24" customHeight="1">
      <c r="A275" s="11"/>
      <c r="B275" s="11"/>
      <c r="C275" s="11"/>
      <c r="D275" s="11"/>
      <c r="E275" s="11"/>
      <c r="F275" s="11"/>
      <c r="G275" s="11"/>
      <c r="H275" s="11" t="str">
        <f>IF(AND(ROW()-1&lt;=教室申込!$K$5,教室申込!$K$7=0,COUNTA(教室申込!$C$4)=1),INDEX(展開用!$C$2:$C$601,MATCH(ROW()-1,展開用!$E$2:$E$601,0)),"")</f>
        <v/>
      </c>
      <c r="I275" s="11" t="str">
        <f>IF(AND(ROW()-1&lt;=教室申込!$K$5,教室申込!$K$7=0,COUNTA(教室申込!$C$4)=1),INDEX(展開用!$D$2:$D$601,MATCH(ROW()-1,展開用!$E$2:$E$601,0)),"")</f>
        <v/>
      </c>
      <c r="J275" s="11"/>
      <c r="K275" s="11"/>
      <c r="L275" s="11" t="str">
        <f>IF(AND(ROW()-1&lt;=教室申込!$K$5,教室申込!$K$7=0,COUNTA(教室申込!$C$4)=1),INDEX(教室申込!$B$1:$B$212,$AW275),"")</f>
        <v/>
      </c>
      <c r="M275" s="11" t="str">
        <f>IF(AND(ROW()-1&lt;=教室申込!$K$5,教室申込!$K$7=0,COUNTA(教室申込!$C$4)=1),INDEX(教室申込!$C$1:$C$212,$AW275),"")</f>
        <v/>
      </c>
      <c r="N275" s="11"/>
      <c r="O275" s="12" t="str">
        <f>IF(AND(ROW()-1&lt;=教室申込!$K$5,教室申込!$K$7=0,COUNTA(教室申込!$C$4)=1),INDEX(展開用!$G$2:$G$601,MATCH(ROW()-1,展開用!$E$2:$E$601,0)),"")</f>
        <v/>
      </c>
      <c r="P275" s="11"/>
      <c r="Q275" s="11"/>
      <c r="R275" s="11"/>
      <c r="S275" s="11"/>
      <c r="T275" s="11"/>
      <c r="U275" s="11" t="str">
        <f>IF(AND(ROW()-1&lt;=教室申込!$K$5,教室申込!$K$7=0,COUNTA(教室申込!$C$4)=1),INDEX(展開用!$F$2:$F$601,MATCH(ROW()-1,展開用!$E$2:$E$601,0)),"")</f>
        <v/>
      </c>
      <c r="V275" s="11"/>
      <c r="W275" s="11"/>
      <c r="X275" s="11"/>
      <c r="Y275" s="11"/>
      <c r="Z275" s="11"/>
      <c r="AA275" s="11" t="str">
        <f>IF($AW275="","",IF(INDEX(教室申込!$J$1:$J$212,$AW275)="","",INDEX(教室申込!$J$1:$J$212,$AW275)))</f>
        <v/>
      </c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" t="str">
        <f>IF(AND(ROW()-1&lt;=教室申込!$K$5,教室申込!$K$7=0,COUNTA(教室申込!$C$4)=1),INDEX(展開用!$B$2:$B$601,MATCH(ROW()-1,展開用!$E$2:$E$601,0)),"")</f>
        <v/>
      </c>
      <c r="AX275" s="1"/>
      <c r="AY275" s="1"/>
    </row>
    <row r="276" spans="1:51" ht="24" customHeight="1">
      <c r="A276" s="11"/>
      <c r="B276" s="11"/>
      <c r="C276" s="11"/>
      <c r="D276" s="11"/>
      <c r="E276" s="11"/>
      <c r="F276" s="11"/>
      <c r="G276" s="11"/>
      <c r="H276" s="11" t="str">
        <f>IF(AND(ROW()-1&lt;=教室申込!$K$5,教室申込!$K$7=0,COUNTA(教室申込!$C$4)=1),INDEX(展開用!$C$2:$C$601,MATCH(ROW()-1,展開用!$E$2:$E$601,0)),"")</f>
        <v/>
      </c>
      <c r="I276" s="11" t="str">
        <f>IF(AND(ROW()-1&lt;=教室申込!$K$5,教室申込!$K$7=0,COUNTA(教室申込!$C$4)=1),INDEX(展開用!$D$2:$D$601,MATCH(ROW()-1,展開用!$E$2:$E$601,0)),"")</f>
        <v/>
      </c>
      <c r="J276" s="11"/>
      <c r="K276" s="11"/>
      <c r="L276" s="11" t="str">
        <f>IF(AND(ROW()-1&lt;=教室申込!$K$5,教室申込!$K$7=0,COUNTA(教室申込!$C$4)=1),INDEX(教室申込!$B$1:$B$212,$AW276),"")</f>
        <v/>
      </c>
      <c r="M276" s="11" t="str">
        <f>IF(AND(ROW()-1&lt;=教室申込!$K$5,教室申込!$K$7=0,COUNTA(教室申込!$C$4)=1),INDEX(教室申込!$C$1:$C$212,$AW276),"")</f>
        <v/>
      </c>
      <c r="N276" s="11"/>
      <c r="O276" s="12" t="str">
        <f>IF(AND(ROW()-1&lt;=教室申込!$K$5,教室申込!$K$7=0,COUNTA(教室申込!$C$4)=1),INDEX(展開用!$G$2:$G$601,MATCH(ROW()-1,展開用!$E$2:$E$601,0)),"")</f>
        <v/>
      </c>
      <c r="P276" s="11"/>
      <c r="Q276" s="11"/>
      <c r="R276" s="11"/>
      <c r="S276" s="11"/>
      <c r="T276" s="11"/>
      <c r="U276" s="11" t="str">
        <f>IF(AND(ROW()-1&lt;=教室申込!$K$5,教室申込!$K$7=0,COUNTA(教室申込!$C$4)=1),INDEX(展開用!$F$2:$F$601,MATCH(ROW()-1,展開用!$E$2:$E$601,0)),"")</f>
        <v/>
      </c>
      <c r="V276" s="11"/>
      <c r="W276" s="11"/>
      <c r="X276" s="11"/>
      <c r="Y276" s="11"/>
      <c r="Z276" s="11"/>
      <c r="AA276" s="11" t="str">
        <f>IF($AW276="","",IF(INDEX(教室申込!$J$1:$J$212,$AW276)="","",INDEX(教室申込!$J$1:$J$212,$AW276)))</f>
        <v/>
      </c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" t="str">
        <f>IF(AND(ROW()-1&lt;=教室申込!$K$5,教室申込!$K$7=0,COUNTA(教室申込!$C$4)=1),INDEX(展開用!$B$2:$B$601,MATCH(ROW()-1,展開用!$E$2:$E$601,0)),"")</f>
        <v/>
      </c>
      <c r="AX276" s="1"/>
      <c r="AY276" s="1"/>
    </row>
    <row r="277" spans="1:51" ht="24" customHeight="1">
      <c r="A277" s="11"/>
      <c r="B277" s="11"/>
      <c r="C277" s="11"/>
      <c r="D277" s="11"/>
      <c r="E277" s="11"/>
      <c r="F277" s="11"/>
      <c r="G277" s="11"/>
      <c r="H277" s="11" t="str">
        <f>IF(AND(ROW()-1&lt;=教室申込!$K$5,教室申込!$K$7=0,COUNTA(教室申込!$C$4)=1),INDEX(展開用!$C$2:$C$601,MATCH(ROW()-1,展開用!$E$2:$E$601,0)),"")</f>
        <v/>
      </c>
      <c r="I277" s="11" t="str">
        <f>IF(AND(ROW()-1&lt;=教室申込!$K$5,教室申込!$K$7=0,COUNTA(教室申込!$C$4)=1),INDEX(展開用!$D$2:$D$601,MATCH(ROW()-1,展開用!$E$2:$E$601,0)),"")</f>
        <v/>
      </c>
      <c r="J277" s="11"/>
      <c r="K277" s="11"/>
      <c r="L277" s="11" t="str">
        <f>IF(AND(ROW()-1&lt;=教室申込!$K$5,教室申込!$K$7=0,COUNTA(教室申込!$C$4)=1),INDEX(教室申込!$B$1:$B$212,$AW277),"")</f>
        <v/>
      </c>
      <c r="M277" s="11" t="str">
        <f>IF(AND(ROW()-1&lt;=教室申込!$K$5,教室申込!$K$7=0,COUNTA(教室申込!$C$4)=1),INDEX(教室申込!$C$1:$C$212,$AW277),"")</f>
        <v/>
      </c>
      <c r="N277" s="11"/>
      <c r="O277" s="12" t="str">
        <f>IF(AND(ROW()-1&lt;=教室申込!$K$5,教室申込!$K$7=0,COUNTA(教室申込!$C$4)=1),INDEX(展開用!$G$2:$G$601,MATCH(ROW()-1,展開用!$E$2:$E$601,0)),"")</f>
        <v/>
      </c>
      <c r="P277" s="11"/>
      <c r="Q277" s="11"/>
      <c r="R277" s="11"/>
      <c r="S277" s="11"/>
      <c r="T277" s="11"/>
      <c r="U277" s="11" t="str">
        <f>IF(AND(ROW()-1&lt;=教室申込!$K$5,教室申込!$K$7=0,COUNTA(教室申込!$C$4)=1),INDEX(展開用!$F$2:$F$601,MATCH(ROW()-1,展開用!$E$2:$E$601,0)),"")</f>
        <v/>
      </c>
      <c r="V277" s="11"/>
      <c r="W277" s="11"/>
      <c r="X277" s="11"/>
      <c r="Y277" s="11"/>
      <c r="Z277" s="11"/>
      <c r="AA277" s="11" t="str">
        <f>IF($AW277="","",IF(INDEX(教室申込!$J$1:$J$212,$AW277)="","",INDEX(教室申込!$J$1:$J$212,$AW277)))</f>
        <v/>
      </c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" t="str">
        <f>IF(AND(ROW()-1&lt;=教室申込!$K$5,教室申込!$K$7=0,COUNTA(教室申込!$C$4)=1),INDEX(展開用!$B$2:$B$601,MATCH(ROW()-1,展開用!$E$2:$E$601,0)),"")</f>
        <v/>
      </c>
      <c r="AX277" s="1"/>
      <c r="AY277" s="1"/>
    </row>
    <row r="278" spans="1:51" ht="24" customHeight="1">
      <c r="A278" s="11"/>
      <c r="B278" s="11"/>
      <c r="C278" s="11"/>
      <c r="D278" s="11"/>
      <c r="E278" s="11"/>
      <c r="F278" s="11"/>
      <c r="G278" s="11"/>
      <c r="H278" s="11" t="str">
        <f>IF(AND(ROW()-1&lt;=教室申込!$K$5,教室申込!$K$7=0,COUNTA(教室申込!$C$4)=1),INDEX(展開用!$C$2:$C$601,MATCH(ROW()-1,展開用!$E$2:$E$601,0)),"")</f>
        <v/>
      </c>
      <c r="I278" s="11" t="str">
        <f>IF(AND(ROW()-1&lt;=教室申込!$K$5,教室申込!$K$7=0,COUNTA(教室申込!$C$4)=1),INDEX(展開用!$D$2:$D$601,MATCH(ROW()-1,展開用!$E$2:$E$601,0)),"")</f>
        <v/>
      </c>
      <c r="J278" s="11"/>
      <c r="K278" s="11"/>
      <c r="L278" s="11" t="str">
        <f>IF(AND(ROW()-1&lt;=教室申込!$K$5,教室申込!$K$7=0,COUNTA(教室申込!$C$4)=1),INDEX(教室申込!$B$1:$B$212,$AW278),"")</f>
        <v/>
      </c>
      <c r="M278" s="11" t="str">
        <f>IF(AND(ROW()-1&lt;=教室申込!$K$5,教室申込!$K$7=0,COUNTA(教室申込!$C$4)=1),INDEX(教室申込!$C$1:$C$212,$AW278),"")</f>
        <v/>
      </c>
      <c r="N278" s="11"/>
      <c r="O278" s="12" t="str">
        <f>IF(AND(ROW()-1&lt;=教室申込!$K$5,教室申込!$K$7=0,COUNTA(教室申込!$C$4)=1),INDEX(展開用!$G$2:$G$601,MATCH(ROW()-1,展開用!$E$2:$E$601,0)),"")</f>
        <v/>
      </c>
      <c r="P278" s="11"/>
      <c r="Q278" s="11"/>
      <c r="R278" s="11"/>
      <c r="S278" s="11"/>
      <c r="T278" s="11"/>
      <c r="U278" s="11" t="str">
        <f>IF(AND(ROW()-1&lt;=教室申込!$K$5,教室申込!$K$7=0,COUNTA(教室申込!$C$4)=1),INDEX(展開用!$F$2:$F$601,MATCH(ROW()-1,展開用!$E$2:$E$601,0)),"")</f>
        <v/>
      </c>
      <c r="V278" s="11"/>
      <c r="W278" s="11"/>
      <c r="X278" s="11"/>
      <c r="Y278" s="11"/>
      <c r="Z278" s="11"/>
      <c r="AA278" s="11" t="str">
        <f>IF($AW278="","",IF(INDEX(教室申込!$J$1:$J$212,$AW278)="","",INDEX(教室申込!$J$1:$J$212,$AW278)))</f>
        <v/>
      </c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" t="str">
        <f>IF(AND(ROW()-1&lt;=教室申込!$K$5,教室申込!$K$7=0,COUNTA(教室申込!$C$4)=1),INDEX(展開用!$B$2:$B$601,MATCH(ROW()-1,展開用!$E$2:$E$601,0)),"")</f>
        <v/>
      </c>
      <c r="AX278" s="1"/>
      <c r="AY278" s="1"/>
    </row>
    <row r="279" spans="1:51" ht="24" customHeight="1">
      <c r="A279" s="11"/>
      <c r="B279" s="11"/>
      <c r="C279" s="11"/>
      <c r="D279" s="11"/>
      <c r="E279" s="11"/>
      <c r="F279" s="11"/>
      <c r="G279" s="11"/>
      <c r="H279" s="11" t="str">
        <f>IF(AND(ROW()-1&lt;=教室申込!$K$5,教室申込!$K$7=0,COUNTA(教室申込!$C$4)=1),INDEX(展開用!$C$2:$C$601,MATCH(ROW()-1,展開用!$E$2:$E$601,0)),"")</f>
        <v/>
      </c>
      <c r="I279" s="11" t="str">
        <f>IF(AND(ROW()-1&lt;=教室申込!$K$5,教室申込!$K$7=0,COUNTA(教室申込!$C$4)=1),INDEX(展開用!$D$2:$D$601,MATCH(ROW()-1,展開用!$E$2:$E$601,0)),"")</f>
        <v/>
      </c>
      <c r="J279" s="11"/>
      <c r="K279" s="11"/>
      <c r="L279" s="11" t="str">
        <f>IF(AND(ROW()-1&lt;=教室申込!$K$5,教室申込!$K$7=0,COUNTA(教室申込!$C$4)=1),INDEX(教室申込!$B$1:$B$212,$AW279),"")</f>
        <v/>
      </c>
      <c r="M279" s="11" t="str">
        <f>IF(AND(ROW()-1&lt;=教室申込!$K$5,教室申込!$K$7=0,COUNTA(教室申込!$C$4)=1),INDEX(教室申込!$C$1:$C$212,$AW279),"")</f>
        <v/>
      </c>
      <c r="N279" s="11"/>
      <c r="O279" s="12" t="str">
        <f>IF(AND(ROW()-1&lt;=教室申込!$K$5,教室申込!$K$7=0,COUNTA(教室申込!$C$4)=1),INDEX(展開用!$G$2:$G$601,MATCH(ROW()-1,展開用!$E$2:$E$601,0)),"")</f>
        <v/>
      </c>
      <c r="P279" s="11"/>
      <c r="Q279" s="11"/>
      <c r="R279" s="11"/>
      <c r="S279" s="11"/>
      <c r="T279" s="11"/>
      <c r="U279" s="11" t="str">
        <f>IF(AND(ROW()-1&lt;=教室申込!$K$5,教室申込!$K$7=0,COUNTA(教室申込!$C$4)=1),INDEX(展開用!$F$2:$F$601,MATCH(ROW()-1,展開用!$E$2:$E$601,0)),"")</f>
        <v/>
      </c>
      <c r="V279" s="11"/>
      <c r="W279" s="11"/>
      <c r="X279" s="11"/>
      <c r="Y279" s="11"/>
      <c r="Z279" s="11"/>
      <c r="AA279" s="11" t="str">
        <f>IF($AW279="","",IF(INDEX(教室申込!$J$1:$J$212,$AW279)="","",INDEX(教室申込!$J$1:$J$212,$AW279)))</f>
        <v/>
      </c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" t="str">
        <f>IF(AND(ROW()-1&lt;=教室申込!$K$5,教室申込!$K$7=0,COUNTA(教室申込!$C$4)=1),INDEX(展開用!$B$2:$B$601,MATCH(ROW()-1,展開用!$E$2:$E$601,0)),"")</f>
        <v/>
      </c>
      <c r="AX279" s="1"/>
      <c r="AY279" s="1"/>
    </row>
    <row r="280" spans="1:51" ht="24" customHeight="1">
      <c r="A280" s="11"/>
      <c r="B280" s="11"/>
      <c r="C280" s="11"/>
      <c r="D280" s="11"/>
      <c r="E280" s="11"/>
      <c r="F280" s="11"/>
      <c r="G280" s="11"/>
      <c r="H280" s="11" t="str">
        <f>IF(AND(ROW()-1&lt;=教室申込!$K$5,教室申込!$K$7=0,COUNTA(教室申込!$C$4)=1),INDEX(展開用!$C$2:$C$601,MATCH(ROW()-1,展開用!$E$2:$E$601,0)),"")</f>
        <v/>
      </c>
      <c r="I280" s="11" t="str">
        <f>IF(AND(ROW()-1&lt;=教室申込!$K$5,教室申込!$K$7=0,COUNTA(教室申込!$C$4)=1),INDEX(展開用!$D$2:$D$601,MATCH(ROW()-1,展開用!$E$2:$E$601,0)),"")</f>
        <v/>
      </c>
      <c r="J280" s="11"/>
      <c r="K280" s="11"/>
      <c r="L280" s="11" t="str">
        <f>IF(AND(ROW()-1&lt;=教室申込!$K$5,教室申込!$K$7=0,COUNTA(教室申込!$C$4)=1),INDEX(教室申込!$B$1:$B$212,$AW280),"")</f>
        <v/>
      </c>
      <c r="M280" s="11" t="str">
        <f>IF(AND(ROW()-1&lt;=教室申込!$K$5,教室申込!$K$7=0,COUNTA(教室申込!$C$4)=1),INDEX(教室申込!$C$1:$C$212,$AW280),"")</f>
        <v/>
      </c>
      <c r="N280" s="11"/>
      <c r="O280" s="12" t="str">
        <f>IF(AND(ROW()-1&lt;=教室申込!$K$5,教室申込!$K$7=0,COUNTA(教室申込!$C$4)=1),INDEX(展開用!$G$2:$G$601,MATCH(ROW()-1,展開用!$E$2:$E$601,0)),"")</f>
        <v/>
      </c>
      <c r="P280" s="11"/>
      <c r="Q280" s="11"/>
      <c r="R280" s="11"/>
      <c r="S280" s="11"/>
      <c r="T280" s="11"/>
      <c r="U280" s="11" t="str">
        <f>IF(AND(ROW()-1&lt;=教室申込!$K$5,教室申込!$K$7=0,COUNTA(教室申込!$C$4)=1),INDEX(展開用!$F$2:$F$601,MATCH(ROW()-1,展開用!$E$2:$E$601,0)),"")</f>
        <v/>
      </c>
      <c r="V280" s="11"/>
      <c r="W280" s="11"/>
      <c r="X280" s="11"/>
      <c r="Y280" s="11"/>
      <c r="Z280" s="11"/>
      <c r="AA280" s="11" t="str">
        <f>IF($AW280="","",IF(INDEX(教室申込!$J$1:$J$212,$AW280)="","",INDEX(教室申込!$J$1:$J$212,$AW280)))</f>
        <v/>
      </c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" t="str">
        <f>IF(AND(ROW()-1&lt;=教室申込!$K$5,教室申込!$K$7=0,COUNTA(教室申込!$C$4)=1),INDEX(展開用!$B$2:$B$601,MATCH(ROW()-1,展開用!$E$2:$E$601,0)),"")</f>
        <v/>
      </c>
      <c r="AX280" s="1"/>
      <c r="AY280" s="1"/>
    </row>
    <row r="281" spans="1:51" ht="24" customHeight="1">
      <c r="A281" s="11"/>
      <c r="B281" s="11"/>
      <c r="C281" s="11"/>
      <c r="D281" s="11"/>
      <c r="E281" s="11"/>
      <c r="F281" s="11"/>
      <c r="G281" s="11"/>
      <c r="H281" s="11" t="str">
        <f>IF(AND(ROW()-1&lt;=教室申込!$K$5,教室申込!$K$7=0,COUNTA(教室申込!$C$4)=1),INDEX(展開用!$C$2:$C$601,MATCH(ROW()-1,展開用!$E$2:$E$601,0)),"")</f>
        <v/>
      </c>
      <c r="I281" s="11" t="str">
        <f>IF(AND(ROW()-1&lt;=教室申込!$K$5,教室申込!$K$7=0,COUNTA(教室申込!$C$4)=1),INDEX(展開用!$D$2:$D$601,MATCH(ROW()-1,展開用!$E$2:$E$601,0)),"")</f>
        <v/>
      </c>
      <c r="J281" s="11"/>
      <c r="K281" s="11"/>
      <c r="L281" s="11" t="str">
        <f>IF(AND(ROW()-1&lt;=教室申込!$K$5,教室申込!$K$7=0,COUNTA(教室申込!$C$4)=1),INDEX(教室申込!$B$1:$B$212,$AW281),"")</f>
        <v/>
      </c>
      <c r="M281" s="11" t="str">
        <f>IF(AND(ROW()-1&lt;=教室申込!$K$5,教室申込!$K$7=0,COUNTA(教室申込!$C$4)=1),INDEX(教室申込!$C$1:$C$212,$AW281),"")</f>
        <v/>
      </c>
      <c r="N281" s="11"/>
      <c r="O281" s="12" t="str">
        <f>IF(AND(ROW()-1&lt;=教室申込!$K$5,教室申込!$K$7=0,COUNTA(教室申込!$C$4)=1),INDEX(展開用!$G$2:$G$601,MATCH(ROW()-1,展開用!$E$2:$E$601,0)),"")</f>
        <v/>
      </c>
      <c r="P281" s="11"/>
      <c r="Q281" s="11"/>
      <c r="R281" s="11"/>
      <c r="S281" s="11"/>
      <c r="T281" s="11"/>
      <c r="U281" s="11" t="str">
        <f>IF(AND(ROW()-1&lt;=教室申込!$K$5,教室申込!$K$7=0,COUNTA(教室申込!$C$4)=1),INDEX(展開用!$F$2:$F$601,MATCH(ROW()-1,展開用!$E$2:$E$601,0)),"")</f>
        <v/>
      </c>
      <c r="V281" s="11"/>
      <c r="W281" s="11"/>
      <c r="X281" s="11"/>
      <c r="Y281" s="11"/>
      <c r="Z281" s="11"/>
      <c r="AA281" s="11" t="str">
        <f>IF($AW281="","",IF(INDEX(教室申込!$J$1:$J$212,$AW281)="","",INDEX(教室申込!$J$1:$J$212,$AW281)))</f>
        <v/>
      </c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" t="str">
        <f>IF(AND(ROW()-1&lt;=教室申込!$K$5,教室申込!$K$7=0,COUNTA(教室申込!$C$4)=1),INDEX(展開用!$B$2:$B$601,MATCH(ROW()-1,展開用!$E$2:$E$601,0)),"")</f>
        <v/>
      </c>
      <c r="AX281" s="1"/>
      <c r="AY281" s="1"/>
    </row>
    <row r="282" spans="1:51" ht="24" customHeight="1">
      <c r="A282" s="11"/>
      <c r="B282" s="11"/>
      <c r="C282" s="11"/>
      <c r="D282" s="11"/>
      <c r="E282" s="11"/>
      <c r="F282" s="11"/>
      <c r="G282" s="11"/>
      <c r="H282" s="11" t="str">
        <f>IF(AND(ROW()-1&lt;=教室申込!$K$5,教室申込!$K$7=0,COUNTA(教室申込!$C$4)=1),INDEX(展開用!$C$2:$C$601,MATCH(ROW()-1,展開用!$E$2:$E$601,0)),"")</f>
        <v/>
      </c>
      <c r="I282" s="11" t="str">
        <f>IF(AND(ROW()-1&lt;=教室申込!$K$5,教室申込!$K$7=0,COUNTA(教室申込!$C$4)=1),INDEX(展開用!$D$2:$D$601,MATCH(ROW()-1,展開用!$E$2:$E$601,0)),"")</f>
        <v/>
      </c>
      <c r="J282" s="11"/>
      <c r="K282" s="11"/>
      <c r="L282" s="11" t="str">
        <f>IF(AND(ROW()-1&lt;=教室申込!$K$5,教室申込!$K$7=0,COUNTA(教室申込!$C$4)=1),INDEX(教室申込!$B$1:$B$212,$AW282),"")</f>
        <v/>
      </c>
      <c r="M282" s="11" t="str">
        <f>IF(AND(ROW()-1&lt;=教室申込!$K$5,教室申込!$K$7=0,COUNTA(教室申込!$C$4)=1),INDEX(教室申込!$C$1:$C$212,$AW282),"")</f>
        <v/>
      </c>
      <c r="N282" s="11"/>
      <c r="O282" s="12" t="str">
        <f>IF(AND(ROW()-1&lt;=教室申込!$K$5,教室申込!$K$7=0,COUNTA(教室申込!$C$4)=1),INDEX(展開用!$G$2:$G$601,MATCH(ROW()-1,展開用!$E$2:$E$601,0)),"")</f>
        <v/>
      </c>
      <c r="P282" s="11"/>
      <c r="Q282" s="11"/>
      <c r="R282" s="11"/>
      <c r="S282" s="11"/>
      <c r="T282" s="11"/>
      <c r="U282" s="11" t="str">
        <f>IF(AND(ROW()-1&lt;=教室申込!$K$5,教室申込!$K$7=0,COUNTA(教室申込!$C$4)=1),INDEX(展開用!$F$2:$F$601,MATCH(ROW()-1,展開用!$E$2:$E$601,0)),"")</f>
        <v/>
      </c>
      <c r="V282" s="11"/>
      <c r="W282" s="11"/>
      <c r="X282" s="11"/>
      <c r="Y282" s="11"/>
      <c r="Z282" s="11"/>
      <c r="AA282" s="11" t="str">
        <f>IF($AW282="","",IF(INDEX(教室申込!$J$1:$J$212,$AW282)="","",INDEX(教室申込!$J$1:$J$212,$AW282)))</f>
        <v/>
      </c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" t="str">
        <f>IF(AND(ROW()-1&lt;=教室申込!$K$5,教室申込!$K$7=0,COUNTA(教室申込!$C$4)=1),INDEX(展開用!$B$2:$B$601,MATCH(ROW()-1,展開用!$E$2:$E$601,0)),"")</f>
        <v/>
      </c>
      <c r="AX282" s="1"/>
      <c r="AY282" s="1"/>
    </row>
    <row r="283" spans="1:51" ht="24" customHeight="1">
      <c r="A283" s="11"/>
      <c r="B283" s="11"/>
      <c r="C283" s="11"/>
      <c r="D283" s="11"/>
      <c r="E283" s="11"/>
      <c r="F283" s="11"/>
      <c r="G283" s="11"/>
      <c r="H283" s="11" t="str">
        <f>IF(AND(ROW()-1&lt;=教室申込!$K$5,教室申込!$K$7=0,COUNTA(教室申込!$C$4)=1),INDEX(展開用!$C$2:$C$601,MATCH(ROW()-1,展開用!$E$2:$E$601,0)),"")</f>
        <v/>
      </c>
      <c r="I283" s="11" t="str">
        <f>IF(AND(ROW()-1&lt;=教室申込!$K$5,教室申込!$K$7=0,COUNTA(教室申込!$C$4)=1),INDEX(展開用!$D$2:$D$601,MATCH(ROW()-1,展開用!$E$2:$E$601,0)),"")</f>
        <v/>
      </c>
      <c r="J283" s="11"/>
      <c r="K283" s="11"/>
      <c r="L283" s="11" t="str">
        <f>IF(AND(ROW()-1&lt;=教室申込!$K$5,教室申込!$K$7=0,COUNTA(教室申込!$C$4)=1),INDEX(教室申込!$B$1:$B$212,$AW283),"")</f>
        <v/>
      </c>
      <c r="M283" s="11" t="str">
        <f>IF(AND(ROW()-1&lt;=教室申込!$K$5,教室申込!$K$7=0,COUNTA(教室申込!$C$4)=1),INDEX(教室申込!$C$1:$C$212,$AW283),"")</f>
        <v/>
      </c>
      <c r="N283" s="11"/>
      <c r="O283" s="12" t="str">
        <f>IF(AND(ROW()-1&lt;=教室申込!$K$5,教室申込!$K$7=0,COUNTA(教室申込!$C$4)=1),INDEX(展開用!$G$2:$G$601,MATCH(ROW()-1,展開用!$E$2:$E$601,0)),"")</f>
        <v/>
      </c>
      <c r="P283" s="11"/>
      <c r="Q283" s="11"/>
      <c r="R283" s="11"/>
      <c r="S283" s="11"/>
      <c r="T283" s="11"/>
      <c r="U283" s="11" t="str">
        <f>IF(AND(ROW()-1&lt;=教室申込!$K$5,教室申込!$K$7=0,COUNTA(教室申込!$C$4)=1),INDEX(展開用!$F$2:$F$601,MATCH(ROW()-1,展開用!$E$2:$E$601,0)),"")</f>
        <v/>
      </c>
      <c r="V283" s="11"/>
      <c r="W283" s="11"/>
      <c r="X283" s="11"/>
      <c r="Y283" s="11"/>
      <c r="Z283" s="11"/>
      <c r="AA283" s="11" t="str">
        <f>IF($AW283="","",IF(INDEX(教室申込!$J$1:$J$212,$AW283)="","",INDEX(教室申込!$J$1:$J$212,$AW283)))</f>
        <v/>
      </c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" t="str">
        <f>IF(AND(ROW()-1&lt;=教室申込!$K$5,教室申込!$K$7=0,COUNTA(教室申込!$C$4)=1),INDEX(展開用!$B$2:$B$601,MATCH(ROW()-1,展開用!$E$2:$E$601,0)),"")</f>
        <v/>
      </c>
      <c r="AX283" s="1"/>
      <c r="AY283" s="1"/>
    </row>
    <row r="284" spans="1:51" ht="24" customHeight="1">
      <c r="A284" s="11"/>
      <c r="B284" s="11"/>
      <c r="C284" s="11"/>
      <c r="D284" s="11"/>
      <c r="E284" s="11"/>
      <c r="F284" s="11"/>
      <c r="G284" s="11"/>
      <c r="H284" s="11" t="str">
        <f>IF(AND(ROW()-1&lt;=教室申込!$K$5,教室申込!$K$7=0,COUNTA(教室申込!$C$4)=1),INDEX(展開用!$C$2:$C$601,MATCH(ROW()-1,展開用!$E$2:$E$601,0)),"")</f>
        <v/>
      </c>
      <c r="I284" s="11" t="str">
        <f>IF(AND(ROW()-1&lt;=教室申込!$K$5,教室申込!$K$7=0,COUNTA(教室申込!$C$4)=1),INDEX(展開用!$D$2:$D$601,MATCH(ROW()-1,展開用!$E$2:$E$601,0)),"")</f>
        <v/>
      </c>
      <c r="J284" s="11"/>
      <c r="K284" s="11"/>
      <c r="L284" s="11" t="str">
        <f>IF(AND(ROW()-1&lt;=教室申込!$K$5,教室申込!$K$7=0,COUNTA(教室申込!$C$4)=1),INDEX(教室申込!$B$1:$B$212,$AW284),"")</f>
        <v/>
      </c>
      <c r="M284" s="11" t="str">
        <f>IF(AND(ROW()-1&lt;=教室申込!$K$5,教室申込!$K$7=0,COUNTA(教室申込!$C$4)=1),INDEX(教室申込!$C$1:$C$212,$AW284),"")</f>
        <v/>
      </c>
      <c r="N284" s="11"/>
      <c r="O284" s="12" t="str">
        <f>IF(AND(ROW()-1&lt;=教室申込!$K$5,教室申込!$K$7=0,COUNTA(教室申込!$C$4)=1),INDEX(展開用!$G$2:$G$601,MATCH(ROW()-1,展開用!$E$2:$E$601,0)),"")</f>
        <v/>
      </c>
      <c r="P284" s="11"/>
      <c r="Q284" s="11"/>
      <c r="R284" s="11"/>
      <c r="S284" s="11"/>
      <c r="T284" s="11"/>
      <c r="U284" s="11" t="str">
        <f>IF(AND(ROW()-1&lt;=教室申込!$K$5,教室申込!$K$7=0,COUNTA(教室申込!$C$4)=1),INDEX(展開用!$F$2:$F$601,MATCH(ROW()-1,展開用!$E$2:$E$601,0)),"")</f>
        <v/>
      </c>
      <c r="V284" s="11"/>
      <c r="W284" s="11"/>
      <c r="X284" s="11"/>
      <c r="Y284" s="11"/>
      <c r="Z284" s="11"/>
      <c r="AA284" s="11" t="str">
        <f>IF($AW284="","",IF(INDEX(教室申込!$J$1:$J$212,$AW284)="","",INDEX(教室申込!$J$1:$J$212,$AW284)))</f>
        <v/>
      </c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" t="str">
        <f>IF(AND(ROW()-1&lt;=教室申込!$K$5,教室申込!$K$7=0,COUNTA(教室申込!$C$4)=1),INDEX(展開用!$B$2:$B$601,MATCH(ROW()-1,展開用!$E$2:$E$601,0)),"")</f>
        <v/>
      </c>
      <c r="AX284" s="1"/>
      <c r="AY284" s="1"/>
    </row>
    <row r="285" spans="1:51" ht="24" customHeight="1">
      <c r="A285" s="11"/>
      <c r="B285" s="11"/>
      <c r="C285" s="11"/>
      <c r="D285" s="11"/>
      <c r="E285" s="11"/>
      <c r="F285" s="11"/>
      <c r="G285" s="11"/>
      <c r="H285" s="11" t="str">
        <f>IF(AND(ROW()-1&lt;=教室申込!$K$5,教室申込!$K$7=0,COUNTA(教室申込!$C$4)=1),INDEX(展開用!$C$2:$C$601,MATCH(ROW()-1,展開用!$E$2:$E$601,0)),"")</f>
        <v/>
      </c>
      <c r="I285" s="11" t="str">
        <f>IF(AND(ROW()-1&lt;=教室申込!$K$5,教室申込!$K$7=0,COUNTA(教室申込!$C$4)=1),INDEX(展開用!$D$2:$D$601,MATCH(ROW()-1,展開用!$E$2:$E$601,0)),"")</f>
        <v/>
      </c>
      <c r="J285" s="11"/>
      <c r="K285" s="11"/>
      <c r="L285" s="11" t="str">
        <f>IF(AND(ROW()-1&lt;=教室申込!$K$5,教室申込!$K$7=0,COUNTA(教室申込!$C$4)=1),INDEX(教室申込!$B$1:$B$212,$AW285),"")</f>
        <v/>
      </c>
      <c r="M285" s="11" t="str">
        <f>IF(AND(ROW()-1&lt;=教室申込!$K$5,教室申込!$K$7=0,COUNTA(教室申込!$C$4)=1),INDEX(教室申込!$C$1:$C$212,$AW285),"")</f>
        <v/>
      </c>
      <c r="N285" s="11"/>
      <c r="O285" s="12" t="str">
        <f>IF(AND(ROW()-1&lt;=教室申込!$K$5,教室申込!$K$7=0,COUNTA(教室申込!$C$4)=1),INDEX(展開用!$G$2:$G$601,MATCH(ROW()-1,展開用!$E$2:$E$601,0)),"")</f>
        <v/>
      </c>
      <c r="P285" s="11"/>
      <c r="Q285" s="11"/>
      <c r="R285" s="11"/>
      <c r="S285" s="11"/>
      <c r="T285" s="11"/>
      <c r="U285" s="11" t="str">
        <f>IF(AND(ROW()-1&lt;=教室申込!$K$5,教室申込!$K$7=0,COUNTA(教室申込!$C$4)=1),INDEX(展開用!$F$2:$F$601,MATCH(ROW()-1,展開用!$E$2:$E$601,0)),"")</f>
        <v/>
      </c>
      <c r="V285" s="11"/>
      <c r="W285" s="11"/>
      <c r="X285" s="11"/>
      <c r="Y285" s="11"/>
      <c r="Z285" s="11"/>
      <c r="AA285" s="11" t="str">
        <f>IF($AW285="","",IF(INDEX(教室申込!$J$1:$J$212,$AW285)="","",INDEX(教室申込!$J$1:$J$212,$AW285)))</f>
        <v/>
      </c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" t="str">
        <f>IF(AND(ROW()-1&lt;=教室申込!$K$5,教室申込!$K$7=0,COUNTA(教室申込!$C$4)=1),INDEX(展開用!$B$2:$B$601,MATCH(ROW()-1,展開用!$E$2:$E$601,0)),"")</f>
        <v/>
      </c>
      <c r="AX285" s="1"/>
      <c r="AY285" s="1"/>
    </row>
    <row r="286" spans="1:51" ht="24" customHeight="1">
      <c r="A286" s="11"/>
      <c r="B286" s="11"/>
      <c r="C286" s="11"/>
      <c r="D286" s="11"/>
      <c r="E286" s="11"/>
      <c r="F286" s="11"/>
      <c r="G286" s="11"/>
      <c r="H286" s="11" t="str">
        <f>IF(AND(ROW()-1&lt;=教室申込!$K$5,教室申込!$K$7=0,COUNTA(教室申込!$C$4)=1),INDEX(展開用!$C$2:$C$601,MATCH(ROW()-1,展開用!$E$2:$E$601,0)),"")</f>
        <v/>
      </c>
      <c r="I286" s="11" t="str">
        <f>IF(AND(ROW()-1&lt;=教室申込!$K$5,教室申込!$K$7=0,COUNTA(教室申込!$C$4)=1),INDEX(展開用!$D$2:$D$601,MATCH(ROW()-1,展開用!$E$2:$E$601,0)),"")</f>
        <v/>
      </c>
      <c r="J286" s="11"/>
      <c r="K286" s="11"/>
      <c r="L286" s="11" t="str">
        <f>IF(AND(ROW()-1&lt;=教室申込!$K$5,教室申込!$K$7=0,COUNTA(教室申込!$C$4)=1),INDEX(教室申込!$B$1:$B$212,$AW286),"")</f>
        <v/>
      </c>
      <c r="M286" s="11" t="str">
        <f>IF(AND(ROW()-1&lt;=教室申込!$K$5,教室申込!$K$7=0,COUNTA(教室申込!$C$4)=1),INDEX(教室申込!$C$1:$C$212,$AW286),"")</f>
        <v/>
      </c>
      <c r="N286" s="11"/>
      <c r="O286" s="12" t="str">
        <f>IF(AND(ROW()-1&lt;=教室申込!$K$5,教室申込!$K$7=0,COUNTA(教室申込!$C$4)=1),INDEX(展開用!$G$2:$G$601,MATCH(ROW()-1,展開用!$E$2:$E$601,0)),"")</f>
        <v/>
      </c>
      <c r="P286" s="11"/>
      <c r="Q286" s="11"/>
      <c r="R286" s="11"/>
      <c r="S286" s="11"/>
      <c r="T286" s="11"/>
      <c r="U286" s="11" t="str">
        <f>IF(AND(ROW()-1&lt;=教室申込!$K$5,教室申込!$K$7=0,COUNTA(教室申込!$C$4)=1),INDEX(展開用!$F$2:$F$601,MATCH(ROW()-1,展開用!$E$2:$E$601,0)),"")</f>
        <v/>
      </c>
      <c r="V286" s="11"/>
      <c r="W286" s="11"/>
      <c r="X286" s="11"/>
      <c r="Y286" s="11"/>
      <c r="Z286" s="11"/>
      <c r="AA286" s="11" t="str">
        <f>IF($AW286="","",IF(INDEX(教室申込!$J$1:$J$212,$AW286)="","",INDEX(教室申込!$J$1:$J$212,$AW286)))</f>
        <v/>
      </c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" t="str">
        <f>IF(AND(ROW()-1&lt;=教室申込!$K$5,教室申込!$K$7=0,COUNTA(教室申込!$C$4)=1),INDEX(展開用!$B$2:$B$601,MATCH(ROW()-1,展開用!$E$2:$E$601,0)),"")</f>
        <v/>
      </c>
      <c r="AX286" s="1"/>
      <c r="AY286" s="1"/>
    </row>
    <row r="287" spans="1:51" ht="24" customHeight="1">
      <c r="A287" s="11"/>
      <c r="B287" s="11"/>
      <c r="C287" s="11"/>
      <c r="D287" s="11"/>
      <c r="E287" s="11"/>
      <c r="F287" s="11"/>
      <c r="G287" s="11"/>
      <c r="H287" s="11" t="str">
        <f>IF(AND(ROW()-1&lt;=教室申込!$K$5,教室申込!$K$7=0,COUNTA(教室申込!$C$4)=1),INDEX(展開用!$C$2:$C$601,MATCH(ROW()-1,展開用!$E$2:$E$601,0)),"")</f>
        <v/>
      </c>
      <c r="I287" s="11" t="str">
        <f>IF(AND(ROW()-1&lt;=教室申込!$K$5,教室申込!$K$7=0,COUNTA(教室申込!$C$4)=1),INDEX(展開用!$D$2:$D$601,MATCH(ROW()-1,展開用!$E$2:$E$601,0)),"")</f>
        <v/>
      </c>
      <c r="J287" s="11"/>
      <c r="K287" s="11"/>
      <c r="L287" s="11" t="str">
        <f>IF(AND(ROW()-1&lt;=教室申込!$K$5,教室申込!$K$7=0,COUNTA(教室申込!$C$4)=1),INDEX(教室申込!$B$1:$B$212,$AW287),"")</f>
        <v/>
      </c>
      <c r="M287" s="11" t="str">
        <f>IF(AND(ROW()-1&lt;=教室申込!$K$5,教室申込!$K$7=0,COUNTA(教室申込!$C$4)=1),INDEX(教室申込!$C$1:$C$212,$AW287),"")</f>
        <v/>
      </c>
      <c r="N287" s="11"/>
      <c r="O287" s="12" t="str">
        <f>IF(AND(ROW()-1&lt;=教室申込!$K$5,教室申込!$K$7=0,COUNTA(教室申込!$C$4)=1),INDEX(展開用!$G$2:$G$601,MATCH(ROW()-1,展開用!$E$2:$E$601,0)),"")</f>
        <v/>
      </c>
      <c r="P287" s="11"/>
      <c r="Q287" s="11"/>
      <c r="R287" s="11"/>
      <c r="S287" s="11"/>
      <c r="T287" s="11"/>
      <c r="U287" s="11" t="str">
        <f>IF(AND(ROW()-1&lt;=教室申込!$K$5,教室申込!$K$7=0,COUNTA(教室申込!$C$4)=1),INDEX(展開用!$F$2:$F$601,MATCH(ROW()-1,展開用!$E$2:$E$601,0)),"")</f>
        <v/>
      </c>
      <c r="V287" s="11"/>
      <c r="W287" s="11"/>
      <c r="X287" s="11"/>
      <c r="Y287" s="11"/>
      <c r="Z287" s="11"/>
      <c r="AA287" s="11" t="str">
        <f>IF($AW287="","",IF(INDEX(教室申込!$J$1:$J$212,$AW287)="","",INDEX(教室申込!$J$1:$J$212,$AW287)))</f>
        <v/>
      </c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" t="str">
        <f>IF(AND(ROW()-1&lt;=教室申込!$K$5,教室申込!$K$7=0,COUNTA(教室申込!$C$4)=1),INDEX(展開用!$B$2:$B$601,MATCH(ROW()-1,展開用!$E$2:$E$601,0)),"")</f>
        <v/>
      </c>
      <c r="AX287" s="1"/>
      <c r="AY287" s="1"/>
    </row>
    <row r="288" spans="1:51" ht="24" customHeight="1">
      <c r="A288" s="11"/>
      <c r="B288" s="11"/>
      <c r="C288" s="11"/>
      <c r="D288" s="11"/>
      <c r="E288" s="11"/>
      <c r="F288" s="11"/>
      <c r="G288" s="11"/>
      <c r="H288" s="11" t="str">
        <f>IF(AND(ROW()-1&lt;=教室申込!$K$5,教室申込!$K$7=0,COUNTA(教室申込!$C$4)=1),INDEX(展開用!$C$2:$C$601,MATCH(ROW()-1,展開用!$E$2:$E$601,0)),"")</f>
        <v/>
      </c>
      <c r="I288" s="11" t="str">
        <f>IF(AND(ROW()-1&lt;=教室申込!$K$5,教室申込!$K$7=0,COUNTA(教室申込!$C$4)=1),INDEX(展開用!$D$2:$D$601,MATCH(ROW()-1,展開用!$E$2:$E$601,0)),"")</f>
        <v/>
      </c>
      <c r="J288" s="11"/>
      <c r="K288" s="11"/>
      <c r="L288" s="11" t="str">
        <f>IF(AND(ROW()-1&lt;=教室申込!$K$5,教室申込!$K$7=0,COUNTA(教室申込!$C$4)=1),INDEX(教室申込!$B$1:$B$212,$AW288),"")</f>
        <v/>
      </c>
      <c r="M288" s="11" t="str">
        <f>IF(AND(ROW()-1&lt;=教室申込!$K$5,教室申込!$K$7=0,COUNTA(教室申込!$C$4)=1),INDEX(教室申込!$C$1:$C$212,$AW288),"")</f>
        <v/>
      </c>
      <c r="N288" s="11"/>
      <c r="O288" s="12" t="str">
        <f>IF(AND(ROW()-1&lt;=教室申込!$K$5,教室申込!$K$7=0,COUNTA(教室申込!$C$4)=1),INDEX(展開用!$G$2:$G$601,MATCH(ROW()-1,展開用!$E$2:$E$601,0)),"")</f>
        <v/>
      </c>
      <c r="P288" s="11"/>
      <c r="Q288" s="11"/>
      <c r="R288" s="11"/>
      <c r="S288" s="11"/>
      <c r="T288" s="11"/>
      <c r="U288" s="11" t="str">
        <f>IF(AND(ROW()-1&lt;=教室申込!$K$5,教室申込!$K$7=0,COUNTA(教室申込!$C$4)=1),INDEX(展開用!$F$2:$F$601,MATCH(ROW()-1,展開用!$E$2:$E$601,0)),"")</f>
        <v/>
      </c>
      <c r="V288" s="11"/>
      <c r="W288" s="11"/>
      <c r="X288" s="11"/>
      <c r="Y288" s="11"/>
      <c r="Z288" s="11"/>
      <c r="AA288" s="11" t="str">
        <f>IF($AW288="","",IF(INDEX(教室申込!$J$1:$J$212,$AW288)="","",INDEX(教室申込!$J$1:$J$212,$AW288)))</f>
        <v/>
      </c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" t="str">
        <f>IF(AND(ROW()-1&lt;=教室申込!$K$5,教室申込!$K$7=0,COUNTA(教室申込!$C$4)=1),INDEX(展開用!$B$2:$B$601,MATCH(ROW()-1,展開用!$E$2:$E$601,0)),"")</f>
        <v/>
      </c>
      <c r="AX288" s="1"/>
      <c r="AY288" s="1"/>
    </row>
    <row r="289" spans="1:51" ht="24" customHeight="1">
      <c r="A289" s="11"/>
      <c r="B289" s="11"/>
      <c r="C289" s="11"/>
      <c r="D289" s="11"/>
      <c r="E289" s="11"/>
      <c r="F289" s="11"/>
      <c r="G289" s="11"/>
      <c r="H289" s="11" t="str">
        <f>IF(AND(ROW()-1&lt;=教室申込!$K$5,教室申込!$K$7=0,COUNTA(教室申込!$C$4)=1),INDEX(展開用!$C$2:$C$601,MATCH(ROW()-1,展開用!$E$2:$E$601,0)),"")</f>
        <v/>
      </c>
      <c r="I289" s="11" t="str">
        <f>IF(AND(ROW()-1&lt;=教室申込!$K$5,教室申込!$K$7=0,COUNTA(教室申込!$C$4)=1),INDEX(展開用!$D$2:$D$601,MATCH(ROW()-1,展開用!$E$2:$E$601,0)),"")</f>
        <v/>
      </c>
      <c r="J289" s="11"/>
      <c r="K289" s="11"/>
      <c r="L289" s="11" t="str">
        <f>IF(AND(ROW()-1&lt;=教室申込!$K$5,教室申込!$K$7=0,COUNTA(教室申込!$C$4)=1),INDEX(教室申込!$B$1:$B$212,$AW289),"")</f>
        <v/>
      </c>
      <c r="M289" s="11" t="str">
        <f>IF(AND(ROW()-1&lt;=教室申込!$K$5,教室申込!$K$7=0,COUNTA(教室申込!$C$4)=1),INDEX(教室申込!$C$1:$C$212,$AW289),"")</f>
        <v/>
      </c>
      <c r="N289" s="11"/>
      <c r="O289" s="12" t="str">
        <f>IF(AND(ROW()-1&lt;=教室申込!$K$5,教室申込!$K$7=0,COUNTA(教室申込!$C$4)=1),INDEX(展開用!$G$2:$G$601,MATCH(ROW()-1,展開用!$E$2:$E$601,0)),"")</f>
        <v/>
      </c>
      <c r="P289" s="11"/>
      <c r="Q289" s="11"/>
      <c r="R289" s="11"/>
      <c r="S289" s="11"/>
      <c r="T289" s="11"/>
      <c r="U289" s="11" t="str">
        <f>IF(AND(ROW()-1&lt;=教室申込!$K$5,教室申込!$K$7=0,COUNTA(教室申込!$C$4)=1),INDEX(展開用!$F$2:$F$601,MATCH(ROW()-1,展開用!$E$2:$E$601,0)),"")</f>
        <v/>
      </c>
      <c r="V289" s="11"/>
      <c r="W289" s="11"/>
      <c r="X289" s="11"/>
      <c r="Y289" s="11"/>
      <c r="Z289" s="11"/>
      <c r="AA289" s="11" t="str">
        <f>IF($AW289="","",IF(INDEX(教室申込!$J$1:$J$212,$AW289)="","",INDEX(教室申込!$J$1:$J$212,$AW289)))</f>
        <v/>
      </c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" t="str">
        <f>IF(AND(ROW()-1&lt;=教室申込!$K$5,教室申込!$K$7=0,COUNTA(教室申込!$C$4)=1),INDEX(展開用!$B$2:$B$601,MATCH(ROW()-1,展開用!$E$2:$E$601,0)),"")</f>
        <v/>
      </c>
      <c r="AX289" s="1"/>
      <c r="AY289" s="1"/>
    </row>
    <row r="290" spans="1:51" ht="24" customHeight="1">
      <c r="A290" s="11"/>
      <c r="B290" s="11"/>
      <c r="C290" s="11"/>
      <c r="D290" s="11"/>
      <c r="E290" s="11"/>
      <c r="F290" s="11"/>
      <c r="G290" s="11"/>
      <c r="H290" s="11" t="str">
        <f>IF(AND(ROW()-1&lt;=教室申込!$K$5,教室申込!$K$7=0,COUNTA(教室申込!$C$4)=1),INDEX(展開用!$C$2:$C$601,MATCH(ROW()-1,展開用!$E$2:$E$601,0)),"")</f>
        <v/>
      </c>
      <c r="I290" s="11" t="str">
        <f>IF(AND(ROW()-1&lt;=教室申込!$K$5,教室申込!$K$7=0,COUNTA(教室申込!$C$4)=1),INDEX(展開用!$D$2:$D$601,MATCH(ROW()-1,展開用!$E$2:$E$601,0)),"")</f>
        <v/>
      </c>
      <c r="J290" s="11"/>
      <c r="K290" s="11"/>
      <c r="L290" s="11" t="str">
        <f>IF(AND(ROW()-1&lt;=教室申込!$K$5,教室申込!$K$7=0,COUNTA(教室申込!$C$4)=1),INDEX(教室申込!$B$1:$B$212,$AW290),"")</f>
        <v/>
      </c>
      <c r="M290" s="11" t="str">
        <f>IF(AND(ROW()-1&lt;=教室申込!$K$5,教室申込!$K$7=0,COUNTA(教室申込!$C$4)=1),INDEX(教室申込!$C$1:$C$212,$AW290),"")</f>
        <v/>
      </c>
      <c r="N290" s="11"/>
      <c r="O290" s="12" t="str">
        <f>IF(AND(ROW()-1&lt;=教室申込!$K$5,教室申込!$K$7=0,COUNTA(教室申込!$C$4)=1),INDEX(展開用!$G$2:$G$601,MATCH(ROW()-1,展開用!$E$2:$E$601,0)),"")</f>
        <v/>
      </c>
      <c r="P290" s="11"/>
      <c r="Q290" s="11"/>
      <c r="R290" s="11"/>
      <c r="S290" s="11"/>
      <c r="T290" s="11"/>
      <c r="U290" s="11" t="str">
        <f>IF(AND(ROW()-1&lt;=教室申込!$K$5,教室申込!$K$7=0,COUNTA(教室申込!$C$4)=1),INDEX(展開用!$F$2:$F$601,MATCH(ROW()-1,展開用!$E$2:$E$601,0)),"")</f>
        <v/>
      </c>
      <c r="V290" s="11"/>
      <c r="W290" s="11"/>
      <c r="X290" s="11"/>
      <c r="Y290" s="11"/>
      <c r="Z290" s="11"/>
      <c r="AA290" s="11" t="str">
        <f>IF($AW290="","",IF(INDEX(教室申込!$J$1:$J$212,$AW290)="","",INDEX(教室申込!$J$1:$J$212,$AW290)))</f>
        <v/>
      </c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" t="str">
        <f>IF(AND(ROW()-1&lt;=教室申込!$K$5,教室申込!$K$7=0,COUNTA(教室申込!$C$4)=1),INDEX(展開用!$B$2:$B$601,MATCH(ROW()-1,展開用!$E$2:$E$601,0)),"")</f>
        <v/>
      </c>
      <c r="AX290" s="1"/>
      <c r="AY290" s="1"/>
    </row>
    <row r="291" spans="1:51" ht="24" customHeight="1">
      <c r="A291" s="11"/>
      <c r="B291" s="11"/>
      <c r="C291" s="11"/>
      <c r="D291" s="11"/>
      <c r="E291" s="11"/>
      <c r="F291" s="11"/>
      <c r="G291" s="11"/>
      <c r="H291" s="11" t="str">
        <f>IF(AND(ROW()-1&lt;=教室申込!$K$5,教室申込!$K$7=0,COUNTA(教室申込!$C$4)=1),INDEX(展開用!$C$2:$C$601,MATCH(ROW()-1,展開用!$E$2:$E$601,0)),"")</f>
        <v/>
      </c>
      <c r="I291" s="11" t="str">
        <f>IF(AND(ROW()-1&lt;=教室申込!$K$5,教室申込!$K$7=0,COUNTA(教室申込!$C$4)=1),INDEX(展開用!$D$2:$D$601,MATCH(ROW()-1,展開用!$E$2:$E$601,0)),"")</f>
        <v/>
      </c>
      <c r="J291" s="11"/>
      <c r="K291" s="11"/>
      <c r="L291" s="11" t="str">
        <f>IF(AND(ROW()-1&lt;=教室申込!$K$5,教室申込!$K$7=0,COUNTA(教室申込!$C$4)=1),INDEX(教室申込!$B$1:$B$212,$AW291),"")</f>
        <v/>
      </c>
      <c r="M291" s="11" t="str">
        <f>IF(AND(ROW()-1&lt;=教室申込!$K$5,教室申込!$K$7=0,COUNTA(教室申込!$C$4)=1),INDEX(教室申込!$C$1:$C$212,$AW291),"")</f>
        <v/>
      </c>
      <c r="N291" s="11"/>
      <c r="O291" s="12" t="str">
        <f>IF(AND(ROW()-1&lt;=教室申込!$K$5,教室申込!$K$7=0,COUNTA(教室申込!$C$4)=1),INDEX(展開用!$G$2:$G$601,MATCH(ROW()-1,展開用!$E$2:$E$601,0)),"")</f>
        <v/>
      </c>
      <c r="P291" s="11"/>
      <c r="Q291" s="11"/>
      <c r="R291" s="11"/>
      <c r="S291" s="11"/>
      <c r="T291" s="11"/>
      <c r="U291" s="11" t="str">
        <f>IF(AND(ROW()-1&lt;=教室申込!$K$5,教室申込!$K$7=0,COUNTA(教室申込!$C$4)=1),INDEX(展開用!$F$2:$F$601,MATCH(ROW()-1,展開用!$E$2:$E$601,0)),"")</f>
        <v/>
      </c>
      <c r="V291" s="11"/>
      <c r="W291" s="11"/>
      <c r="X291" s="11"/>
      <c r="Y291" s="11"/>
      <c r="Z291" s="11"/>
      <c r="AA291" s="11" t="str">
        <f>IF($AW291="","",IF(INDEX(教室申込!$J$1:$J$212,$AW291)="","",INDEX(教室申込!$J$1:$J$212,$AW291)))</f>
        <v/>
      </c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" t="str">
        <f>IF(AND(ROW()-1&lt;=教室申込!$K$5,教室申込!$K$7=0,COUNTA(教室申込!$C$4)=1),INDEX(展開用!$B$2:$B$601,MATCH(ROW()-1,展開用!$E$2:$E$601,0)),"")</f>
        <v/>
      </c>
      <c r="AX291" s="1"/>
      <c r="AY291" s="1"/>
    </row>
    <row r="292" spans="1:51" ht="24" customHeight="1">
      <c r="A292" s="11"/>
      <c r="B292" s="11"/>
      <c r="C292" s="11"/>
      <c r="D292" s="11"/>
      <c r="E292" s="11"/>
      <c r="F292" s="11"/>
      <c r="G292" s="11"/>
      <c r="H292" s="11" t="str">
        <f>IF(AND(ROW()-1&lt;=教室申込!$K$5,教室申込!$K$7=0,COUNTA(教室申込!$C$4)=1),INDEX(展開用!$C$2:$C$601,MATCH(ROW()-1,展開用!$E$2:$E$601,0)),"")</f>
        <v/>
      </c>
      <c r="I292" s="11" t="str">
        <f>IF(AND(ROW()-1&lt;=教室申込!$K$5,教室申込!$K$7=0,COUNTA(教室申込!$C$4)=1),INDEX(展開用!$D$2:$D$601,MATCH(ROW()-1,展開用!$E$2:$E$601,0)),"")</f>
        <v/>
      </c>
      <c r="J292" s="11"/>
      <c r="K292" s="11"/>
      <c r="L292" s="11" t="str">
        <f>IF(AND(ROW()-1&lt;=教室申込!$K$5,教室申込!$K$7=0,COUNTA(教室申込!$C$4)=1),INDEX(教室申込!$B$1:$B$212,$AW292),"")</f>
        <v/>
      </c>
      <c r="M292" s="11" t="str">
        <f>IF(AND(ROW()-1&lt;=教室申込!$K$5,教室申込!$K$7=0,COUNTA(教室申込!$C$4)=1),INDEX(教室申込!$C$1:$C$212,$AW292),"")</f>
        <v/>
      </c>
      <c r="N292" s="11"/>
      <c r="O292" s="12" t="str">
        <f>IF(AND(ROW()-1&lt;=教室申込!$K$5,教室申込!$K$7=0,COUNTA(教室申込!$C$4)=1),INDEX(展開用!$G$2:$G$601,MATCH(ROW()-1,展開用!$E$2:$E$601,0)),"")</f>
        <v/>
      </c>
      <c r="P292" s="11"/>
      <c r="Q292" s="11"/>
      <c r="R292" s="11"/>
      <c r="S292" s="11"/>
      <c r="T292" s="11"/>
      <c r="U292" s="11" t="str">
        <f>IF(AND(ROW()-1&lt;=教室申込!$K$5,教室申込!$K$7=0,COUNTA(教室申込!$C$4)=1),INDEX(展開用!$F$2:$F$601,MATCH(ROW()-1,展開用!$E$2:$E$601,0)),"")</f>
        <v/>
      </c>
      <c r="V292" s="11"/>
      <c r="W292" s="11"/>
      <c r="X292" s="11"/>
      <c r="Y292" s="11"/>
      <c r="Z292" s="11"/>
      <c r="AA292" s="11" t="str">
        <f>IF($AW292="","",IF(INDEX(教室申込!$J$1:$J$212,$AW292)="","",INDEX(教室申込!$J$1:$J$212,$AW292)))</f>
        <v/>
      </c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" t="str">
        <f>IF(AND(ROW()-1&lt;=教室申込!$K$5,教室申込!$K$7=0,COUNTA(教室申込!$C$4)=1),INDEX(展開用!$B$2:$B$601,MATCH(ROW()-1,展開用!$E$2:$E$601,0)),"")</f>
        <v/>
      </c>
      <c r="AX292" s="1"/>
      <c r="AY292" s="1"/>
    </row>
    <row r="293" spans="1:51" ht="24" customHeight="1">
      <c r="A293" s="11"/>
      <c r="B293" s="11"/>
      <c r="C293" s="11"/>
      <c r="D293" s="11"/>
      <c r="E293" s="11"/>
      <c r="F293" s="11"/>
      <c r="G293" s="11"/>
      <c r="H293" s="11" t="str">
        <f>IF(AND(ROW()-1&lt;=教室申込!$K$5,教室申込!$K$7=0,COUNTA(教室申込!$C$4)=1),INDEX(展開用!$C$2:$C$601,MATCH(ROW()-1,展開用!$E$2:$E$601,0)),"")</f>
        <v/>
      </c>
      <c r="I293" s="11" t="str">
        <f>IF(AND(ROW()-1&lt;=教室申込!$K$5,教室申込!$K$7=0,COUNTA(教室申込!$C$4)=1),INDEX(展開用!$D$2:$D$601,MATCH(ROW()-1,展開用!$E$2:$E$601,0)),"")</f>
        <v/>
      </c>
      <c r="J293" s="11"/>
      <c r="K293" s="11"/>
      <c r="L293" s="11" t="str">
        <f>IF(AND(ROW()-1&lt;=教室申込!$K$5,教室申込!$K$7=0,COUNTA(教室申込!$C$4)=1),INDEX(教室申込!$B$1:$B$212,$AW293),"")</f>
        <v/>
      </c>
      <c r="M293" s="11" t="str">
        <f>IF(AND(ROW()-1&lt;=教室申込!$K$5,教室申込!$K$7=0,COUNTA(教室申込!$C$4)=1),INDEX(教室申込!$C$1:$C$212,$AW293),"")</f>
        <v/>
      </c>
      <c r="N293" s="11"/>
      <c r="O293" s="12" t="str">
        <f>IF(AND(ROW()-1&lt;=教室申込!$K$5,教室申込!$K$7=0,COUNTA(教室申込!$C$4)=1),INDEX(展開用!$G$2:$G$601,MATCH(ROW()-1,展開用!$E$2:$E$601,0)),"")</f>
        <v/>
      </c>
      <c r="P293" s="11"/>
      <c r="Q293" s="11"/>
      <c r="R293" s="11"/>
      <c r="S293" s="11"/>
      <c r="T293" s="11"/>
      <c r="U293" s="11" t="str">
        <f>IF(AND(ROW()-1&lt;=教室申込!$K$5,教室申込!$K$7=0,COUNTA(教室申込!$C$4)=1),INDEX(展開用!$F$2:$F$601,MATCH(ROW()-1,展開用!$E$2:$E$601,0)),"")</f>
        <v/>
      </c>
      <c r="V293" s="11"/>
      <c r="W293" s="11"/>
      <c r="X293" s="11"/>
      <c r="Y293" s="11"/>
      <c r="Z293" s="11"/>
      <c r="AA293" s="11" t="str">
        <f>IF($AW293="","",IF(INDEX(教室申込!$J$1:$J$212,$AW293)="","",INDEX(教室申込!$J$1:$J$212,$AW293)))</f>
        <v/>
      </c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" t="str">
        <f>IF(AND(ROW()-1&lt;=教室申込!$K$5,教室申込!$K$7=0,COUNTA(教室申込!$C$4)=1),INDEX(展開用!$B$2:$B$601,MATCH(ROW()-1,展開用!$E$2:$E$601,0)),"")</f>
        <v/>
      </c>
      <c r="AX293" s="1"/>
      <c r="AY293" s="1"/>
    </row>
    <row r="294" spans="1:51" ht="24" customHeight="1">
      <c r="A294" s="11"/>
      <c r="B294" s="11"/>
      <c r="C294" s="11"/>
      <c r="D294" s="11"/>
      <c r="E294" s="11"/>
      <c r="F294" s="11"/>
      <c r="G294" s="11"/>
      <c r="H294" s="11" t="str">
        <f>IF(AND(ROW()-1&lt;=教室申込!$K$5,教室申込!$K$7=0,COUNTA(教室申込!$C$4)=1),INDEX(展開用!$C$2:$C$601,MATCH(ROW()-1,展開用!$E$2:$E$601,0)),"")</f>
        <v/>
      </c>
      <c r="I294" s="11" t="str">
        <f>IF(AND(ROW()-1&lt;=教室申込!$K$5,教室申込!$K$7=0,COUNTA(教室申込!$C$4)=1),INDEX(展開用!$D$2:$D$601,MATCH(ROW()-1,展開用!$E$2:$E$601,0)),"")</f>
        <v/>
      </c>
      <c r="J294" s="11"/>
      <c r="K294" s="11"/>
      <c r="L294" s="11" t="str">
        <f>IF(AND(ROW()-1&lt;=教室申込!$K$5,教室申込!$K$7=0,COUNTA(教室申込!$C$4)=1),INDEX(教室申込!$B$1:$B$212,$AW294),"")</f>
        <v/>
      </c>
      <c r="M294" s="11" t="str">
        <f>IF(AND(ROW()-1&lt;=教室申込!$K$5,教室申込!$K$7=0,COUNTA(教室申込!$C$4)=1),INDEX(教室申込!$C$1:$C$212,$AW294),"")</f>
        <v/>
      </c>
      <c r="N294" s="11"/>
      <c r="O294" s="12" t="str">
        <f>IF(AND(ROW()-1&lt;=教室申込!$K$5,教室申込!$K$7=0,COUNTA(教室申込!$C$4)=1),INDEX(展開用!$G$2:$G$601,MATCH(ROW()-1,展開用!$E$2:$E$601,0)),"")</f>
        <v/>
      </c>
      <c r="P294" s="11"/>
      <c r="Q294" s="11"/>
      <c r="R294" s="11"/>
      <c r="S294" s="11"/>
      <c r="T294" s="11"/>
      <c r="U294" s="11" t="str">
        <f>IF(AND(ROW()-1&lt;=教室申込!$K$5,教室申込!$K$7=0,COUNTA(教室申込!$C$4)=1),INDEX(展開用!$F$2:$F$601,MATCH(ROW()-1,展開用!$E$2:$E$601,0)),"")</f>
        <v/>
      </c>
      <c r="V294" s="11"/>
      <c r="W294" s="11"/>
      <c r="X294" s="11"/>
      <c r="Y294" s="11"/>
      <c r="Z294" s="11"/>
      <c r="AA294" s="11" t="str">
        <f>IF($AW294="","",IF(INDEX(教室申込!$J$1:$J$212,$AW294)="","",INDEX(教室申込!$J$1:$J$212,$AW294)))</f>
        <v/>
      </c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" t="str">
        <f>IF(AND(ROW()-1&lt;=教室申込!$K$5,教室申込!$K$7=0,COUNTA(教室申込!$C$4)=1),INDEX(展開用!$B$2:$B$601,MATCH(ROW()-1,展開用!$E$2:$E$601,0)),"")</f>
        <v/>
      </c>
      <c r="AX294" s="1"/>
      <c r="AY294" s="1"/>
    </row>
    <row r="295" spans="1:51" ht="24" customHeight="1">
      <c r="A295" s="11"/>
      <c r="B295" s="11"/>
      <c r="C295" s="11"/>
      <c r="D295" s="11"/>
      <c r="E295" s="11"/>
      <c r="F295" s="11"/>
      <c r="G295" s="11"/>
      <c r="H295" s="11" t="str">
        <f>IF(AND(ROW()-1&lt;=教室申込!$K$5,教室申込!$K$7=0,COUNTA(教室申込!$C$4)=1),INDEX(展開用!$C$2:$C$601,MATCH(ROW()-1,展開用!$E$2:$E$601,0)),"")</f>
        <v/>
      </c>
      <c r="I295" s="11" t="str">
        <f>IF(AND(ROW()-1&lt;=教室申込!$K$5,教室申込!$K$7=0,COUNTA(教室申込!$C$4)=1),INDEX(展開用!$D$2:$D$601,MATCH(ROW()-1,展開用!$E$2:$E$601,0)),"")</f>
        <v/>
      </c>
      <c r="J295" s="11"/>
      <c r="K295" s="11"/>
      <c r="L295" s="11" t="str">
        <f>IF(AND(ROW()-1&lt;=教室申込!$K$5,教室申込!$K$7=0,COUNTA(教室申込!$C$4)=1),INDEX(教室申込!$B$1:$B$212,$AW295),"")</f>
        <v/>
      </c>
      <c r="M295" s="11" t="str">
        <f>IF(AND(ROW()-1&lt;=教室申込!$K$5,教室申込!$K$7=0,COUNTA(教室申込!$C$4)=1),INDEX(教室申込!$C$1:$C$212,$AW295),"")</f>
        <v/>
      </c>
      <c r="N295" s="11"/>
      <c r="O295" s="12" t="str">
        <f>IF(AND(ROW()-1&lt;=教室申込!$K$5,教室申込!$K$7=0,COUNTA(教室申込!$C$4)=1),INDEX(展開用!$G$2:$G$601,MATCH(ROW()-1,展開用!$E$2:$E$601,0)),"")</f>
        <v/>
      </c>
      <c r="P295" s="11"/>
      <c r="Q295" s="11"/>
      <c r="R295" s="11"/>
      <c r="S295" s="11"/>
      <c r="T295" s="11"/>
      <c r="U295" s="11" t="str">
        <f>IF(AND(ROW()-1&lt;=教室申込!$K$5,教室申込!$K$7=0,COUNTA(教室申込!$C$4)=1),INDEX(展開用!$F$2:$F$601,MATCH(ROW()-1,展開用!$E$2:$E$601,0)),"")</f>
        <v/>
      </c>
      <c r="V295" s="11"/>
      <c r="W295" s="11"/>
      <c r="X295" s="11"/>
      <c r="Y295" s="11"/>
      <c r="Z295" s="11"/>
      <c r="AA295" s="11" t="str">
        <f>IF($AW295="","",IF(INDEX(教室申込!$J$1:$J$212,$AW295)="","",INDEX(教室申込!$J$1:$J$212,$AW295)))</f>
        <v/>
      </c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" t="str">
        <f>IF(AND(ROW()-1&lt;=教室申込!$K$5,教室申込!$K$7=0,COUNTA(教室申込!$C$4)=1),INDEX(展開用!$B$2:$B$601,MATCH(ROW()-1,展開用!$E$2:$E$601,0)),"")</f>
        <v/>
      </c>
      <c r="AX295" s="1"/>
      <c r="AY295" s="1"/>
    </row>
    <row r="296" spans="1:51" ht="24" customHeight="1">
      <c r="A296" s="11"/>
      <c r="B296" s="11"/>
      <c r="C296" s="11"/>
      <c r="D296" s="11"/>
      <c r="E296" s="11"/>
      <c r="F296" s="11"/>
      <c r="G296" s="11"/>
      <c r="H296" s="11" t="str">
        <f>IF(AND(ROW()-1&lt;=教室申込!$K$5,教室申込!$K$7=0,COUNTA(教室申込!$C$4)=1),INDEX(展開用!$C$2:$C$601,MATCH(ROW()-1,展開用!$E$2:$E$601,0)),"")</f>
        <v/>
      </c>
      <c r="I296" s="11" t="str">
        <f>IF(AND(ROW()-1&lt;=教室申込!$K$5,教室申込!$K$7=0,COUNTA(教室申込!$C$4)=1),INDEX(展開用!$D$2:$D$601,MATCH(ROW()-1,展開用!$E$2:$E$601,0)),"")</f>
        <v/>
      </c>
      <c r="J296" s="11"/>
      <c r="K296" s="11"/>
      <c r="L296" s="11" t="str">
        <f>IF(AND(ROW()-1&lt;=教室申込!$K$5,教室申込!$K$7=0,COUNTA(教室申込!$C$4)=1),INDEX(教室申込!$B$1:$B$212,$AW296),"")</f>
        <v/>
      </c>
      <c r="M296" s="11" t="str">
        <f>IF(AND(ROW()-1&lt;=教室申込!$K$5,教室申込!$K$7=0,COUNTA(教室申込!$C$4)=1),INDEX(教室申込!$C$1:$C$212,$AW296),"")</f>
        <v/>
      </c>
      <c r="N296" s="11"/>
      <c r="O296" s="12" t="str">
        <f>IF(AND(ROW()-1&lt;=教室申込!$K$5,教室申込!$K$7=0,COUNTA(教室申込!$C$4)=1),INDEX(展開用!$G$2:$G$601,MATCH(ROW()-1,展開用!$E$2:$E$601,0)),"")</f>
        <v/>
      </c>
      <c r="P296" s="11"/>
      <c r="Q296" s="11"/>
      <c r="R296" s="11"/>
      <c r="S296" s="11"/>
      <c r="T296" s="11"/>
      <c r="U296" s="11" t="str">
        <f>IF(AND(ROW()-1&lt;=教室申込!$K$5,教室申込!$K$7=0,COUNTA(教室申込!$C$4)=1),INDEX(展開用!$F$2:$F$601,MATCH(ROW()-1,展開用!$E$2:$E$601,0)),"")</f>
        <v/>
      </c>
      <c r="V296" s="11"/>
      <c r="W296" s="11"/>
      <c r="X296" s="11"/>
      <c r="Y296" s="11"/>
      <c r="Z296" s="11"/>
      <c r="AA296" s="11" t="str">
        <f>IF($AW296="","",IF(INDEX(教室申込!$J$1:$J$212,$AW296)="","",INDEX(教室申込!$J$1:$J$212,$AW296)))</f>
        <v/>
      </c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" t="str">
        <f>IF(AND(ROW()-1&lt;=教室申込!$K$5,教室申込!$K$7=0,COUNTA(教室申込!$C$4)=1),INDEX(展開用!$B$2:$B$601,MATCH(ROW()-1,展開用!$E$2:$E$601,0)),"")</f>
        <v/>
      </c>
      <c r="AX296" s="1"/>
      <c r="AY296" s="1"/>
    </row>
    <row r="297" spans="1:51" ht="24" customHeight="1">
      <c r="A297" s="11"/>
      <c r="B297" s="11"/>
      <c r="C297" s="11"/>
      <c r="D297" s="11"/>
      <c r="E297" s="11"/>
      <c r="F297" s="11"/>
      <c r="G297" s="11"/>
      <c r="H297" s="11" t="str">
        <f>IF(AND(ROW()-1&lt;=教室申込!$K$5,教室申込!$K$7=0,COUNTA(教室申込!$C$4)=1),INDEX(展開用!$C$2:$C$601,MATCH(ROW()-1,展開用!$E$2:$E$601,0)),"")</f>
        <v/>
      </c>
      <c r="I297" s="11" t="str">
        <f>IF(AND(ROW()-1&lt;=教室申込!$K$5,教室申込!$K$7=0,COUNTA(教室申込!$C$4)=1),INDEX(展開用!$D$2:$D$601,MATCH(ROW()-1,展開用!$E$2:$E$601,0)),"")</f>
        <v/>
      </c>
      <c r="J297" s="11"/>
      <c r="K297" s="11"/>
      <c r="L297" s="11" t="str">
        <f>IF(AND(ROW()-1&lt;=教室申込!$K$5,教室申込!$K$7=0,COUNTA(教室申込!$C$4)=1),INDEX(教室申込!$B$1:$B$212,$AW297),"")</f>
        <v/>
      </c>
      <c r="M297" s="11" t="str">
        <f>IF(AND(ROW()-1&lt;=教室申込!$K$5,教室申込!$K$7=0,COUNTA(教室申込!$C$4)=1),INDEX(教室申込!$C$1:$C$212,$AW297),"")</f>
        <v/>
      </c>
      <c r="N297" s="11"/>
      <c r="O297" s="12" t="str">
        <f>IF(AND(ROW()-1&lt;=教室申込!$K$5,教室申込!$K$7=0,COUNTA(教室申込!$C$4)=1),INDEX(展開用!$G$2:$G$601,MATCH(ROW()-1,展開用!$E$2:$E$601,0)),"")</f>
        <v/>
      </c>
      <c r="P297" s="11"/>
      <c r="Q297" s="11"/>
      <c r="R297" s="11"/>
      <c r="S297" s="11"/>
      <c r="T297" s="11"/>
      <c r="U297" s="11" t="str">
        <f>IF(AND(ROW()-1&lt;=教室申込!$K$5,教室申込!$K$7=0,COUNTA(教室申込!$C$4)=1),INDEX(展開用!$F$2:$F$601,MATCH(ROW()-1,展開用!$E$2:$E$601,0)),"")</f>
        <v/>
      </c>
      <c r="V297" s="11"/>
      <c r="W297" s="11"/>
      <c r="X297" s="11"/>
      <c r="Y297" s="11"/>
      <c r="Z297" s="11"/>
      <c r="AA297" s="11" t="str">
        <f>IF($AW297="","",IF(INDEX(教室申込!$J$1:$J$212,$AW297)="","",INDEX(教室申込!$J$1:$J$212,$AW297)))</f>
        <v/>
      </c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" t="str">
        <f>IF(AND(ROW()-1&lt;=教室申込!$K$5,教室申込!$K$7=0,COUNTA(教室申込!$C$4)=1),INDEX(展開用!$B$2:$B$601,MATCH(ROW()-1,展開用!$E$2:$E$601,0)),"")</f>
        <v/>
      </c>
      <c r="AX297" s="1"/>
      <c r="AY297" s="1"/>
    </row>
    <row r="298" spans="1:51" ht="24" customHeight="1">
      <c r="A298" s="11"/>
      <c r="B298" s="11"/>
      <c r="C298" s="11"/>
      <c r="D298" s="11"/>
      <c r="E298" s="11"/>
      <c r="F298" s="11"/>
      <c r="G298" s="11"/>
      <c r="H298" s="11" t="str">
        <f>IF(AND(ROW()-1&lt;=教室申込!$K$5,教室申込!$K$7=0,COUNTA(教室申込!$C$4)=1),INDEX(展開用!$C$2:$C$601,MATCH(ROW()-1,展開用!$E$2:$E$601,0)),"")</f>
        <v/>
      </c>
      <c r="I298" s="11" t="str">
        <f>IF(AND(ROW()-1&lt;=教室申込!$K$5,教室申込!$K$7=0,COUNTA(教室申込!$C$4)=1),INDEX(展開用!$D$2:$D$601,MATCH(ROW()-1,展開用!$E$2:$E$601,0)),"")</f>
        <v/>
      </c>
      <c r="J298" s="11"/>
      <c r="K298" s="11"/>
      <c r="L298" s="11" t="str">
        <f>IF(AND(ROW()-1&lt;=教室申込!$K$5,教室申込!$K$7=0,COUNTA(教室申込!$C$4)=1),INDEX(教室申込!$B$1:$B$212,$AW298),"")</f>
        <v/>
      </c>
      <c r="M298" s="11" t="str">
        <f>IF(AND(ROW()-1&lt;=教室申込!$K$5,教室申込!$K$7=0,COUNTA(教室申込!$C$4)=1),INDEX(教室申込!$C$1:$C$212,$AW298),"")</f>
        <v/>
      </c>
      <c r="N298" s="11"/>
      <c r="O298" s="12" t="str">
        <f>IF(AND(ROW()-1&lt;=教室申込!$K$5,教室申込!$K$7=0,COUNTA(教室申込!$C$4)=1),INDEX(展開用!$G$2:$G$601,MATCH(ROW()-1,展開用!$E$2:$E$601,0)),"")</f>
        <v/>
      </c>
      <c r="P298" s="11"/>
      <c r="Q298" s="11"/>
      <c r="R298" s="11"/>
      <c r="S298" s="11"/>
      <c r="T298" s="11"/>
      <c r="U298" s="11" t="str">
        <f>IF(AND(ROW()-1&lt;=教室申込!$K$5,教室申込!$K$7=0,COUNTA(教室申込!$C$4)=1),INDEX(展開用!$F$2:$F$601,MATCH(ROW()-1,展開用!$E$2:$E$601,0)),"")</f>
        <v/>
      </c>
      <c r="V298" s="11"/>
      <c r="W298" s="11"/>
      <c r="X298" s="11"/>
      <c r="Y298" s="11"/>
      <c r="Z298" s="11"/>
      <c r="AA298" s="11" t="str">
        <f>IF($AW298="","",IF(INDEX(教室申込!$J$1:$J$212,$AW298)="","",INDEX(教室申込!$J$1:$J$212,$AW298)))</f>
        <v/>
      </c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" t="str">
        <f>IF(AND(ROW()-1&lt;=教室申込!$K$5,教室申込!$K$7=0,COUNTA(教室申込!$C$4)=1),INDEX(展開用!$B$2:$B$601,MATCH(ROW()-1,展開用!$E$2:$E$601,0)),"")</f>
        <v/>
      </c>
      <c r="AX298" s="1"/>
      <c r="AY298" s="1"/>
    </row>
    <row r="299" spans="1:51" ht="24" customHeight="1">
      <c r="A299" s="11"/>
      <c r="B299" s="11"/>
      <c r="C299" s="11"/>
      <c r="D299" s="11"/>
      <c r="E299" s="11"/>
      <c r="F299" s="11"/>
      <c r="G299" s="11"/>
      <c r="H299" s="11" t="str">
        <f>IF(AND(ROW()-1&lt;=教室申込!$K$5,教室申込!$K$7=0,COUNTA(教室申込!$C$4)=1),INDEX(展開用!$C$2:$C$601,MATCH(ROW()-1,展開用!$E$2:$E$601,0)),"")</f>
        <v/>
      </c>
      <c r="I299" s="11" t="str">
        <f>IF(AND(ROW()-1&lt;=教室申込!$K$5,教室申込!$K$7=0,COUNTA(教室申込!$C$4)=1),INDEX(展開用!$D$2:$D$601,MATCH(ROW()-1,展開用!$E$2:$E$601,0)),"")</f>
        <v/>
      </c>
      <c r="J299" s="11"/>
      <c r="K299" s="11"/>
      <c r="L299" s="11" t="str">
        <f>IF(AND(ROW()-1&lt;=教室申込!$K$5,教室申込!$K$7=0,COUNTA(教室申込!$C$4)=1),INDEX(教室申込!$B$1:$B$212,$AW299),"")</f>
        <v/>
      </c>
      <c r="M299" s="11" t="str">
        <f>IF(AND(ROW()-1&lt;=教室申込!$K$5,教室申込!$K$7=0,COUNTA(教室申込!$C$4)=1),INDEX(教室申込!$C$1:$C$212,$AW299),"")</f>
        <v/>
      </c>
      <c r="N299" s="11"/>
      <c r="O299" s="12" t="str">
        <f>IF(AND(ROW()-1&lt;=教室申込!$K$5,教室申込!$K$7=0,COUNTA(教室申込!$C$4)=1),INDEX(展開用!$G$2:$G$601,MATCH(ROW()-1,展開用!$E$2:$E$601,0)),"")</f>
        <v/>
      </c>
      <c r="P299" s="11"/>
      <c r="Q299" s="11"/>
      <c r="R299" s="11"/>
      <c r="S299" s="11"/>
      <c r="T299" s="11"/>
      <c r="U299" s="11" t="str">
        <f>IF(AND(ROW()-1&lt;=教室申込!$K$5,教室申込!$K$7=0,COUNTA(教室申込!$C$4)=1),INDEX(展開用!$F$2:$F$601,MATCH(ROW()-1,展開用!$E$2:$E$601,0)),"")</f>
        <v/>
      </c>
      <c r="V299" s="11"/>
      <c r="W299" s="11"/>
      <c r="X299" s="11"/>
      <c r="Y299" s="11"/>
      <c r="Z299" s="11"/>
      <c r="AA299" s="11" t="str">
        <f>IF($AW299="","",IF(INDEX(教室申込!$J$1:$J$212,$AW299)="","",INDEX(教室申込!$J$1:$J$212,$AW299)))</f>
        <v/>
      </c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" t="str">
        <f>IF(AND(ROW()-1&lt;=教室申込!$K$5,教室申込!$K$7=0,COUNTA(教室申込!$C$4)=1),INDEX(展開用!$B$2:$B$601,MATCH(ROW()-1,展開用!$E$2:$E$601,0)),"")</f>
        <v/>
      </c>
      <c r="AX299" s="1"/>
      <c r="AY299" s="1"/>
    </row>
    <row r="300" spans="1:51" ht="24" customHeight="1">
      <c r="A300" s="11"/>
      <c r="B300" s="11"/>
      <c r="C300" s="11"/>
      <c r="D300" s="11"/>
      <c r="E300" s="11"/>
      <c r="F300" s="11"/>
      <c r="G300" s="11"/>
      <c r="H300" s="11" t="str">
        <f>IF(AND(ROW()-1&lt;=教室申込!$K$5,教室申込!$K$7=0,COUNTA(教室申込!$C$4)=1),INDEX(展開用!$C$2:$C$601,MATCH(ROW()-1,展開用!$E$2:$E$601,0)),"")</f>
        <v/>
      </c>
      <c r="I300" s="11" t="str">
        <f>IF(AND(ROW()-1&lt;=教室申込!$K$5,教室申込!$K$7=0,COUNTA(教室申込!$C$4)=1),INDEX(展開用!$D$2:$D$601,MATCH(ROW()-1,展開用!$E$2:$E$601,0)),"")</f>
        <v/>
      </c>
      <c r="J300" s="11"/>
      <c r="K300" s="11"/>
      <c r="L300" s="11" t="str">
        <f>IF(AND(ROW()-1&lt;=教室申込!$K$5,教室申込!$K$7=0,COUNTA(教室申込!$C$4)=1),INDEX(教室申込!$B$1:$B$212,$AW300),"")</f>
        <v/>
      </c>
      <c r="M300" s="11" t="str">
        <f>IF(AND(ROW()-1&lt;=教室申込!$K$5,教室申込!$K$7=0,COUNTA(教室申込!$C$4)=1),INDEX(教室申込!$C$1:$C$212,$AW300),"")</f>
        <v/>
      </c>
      <c r="N300" s="11"/>
      <c r="O300" s="12" t="str">
        <f>IF(AND(ROW()-1&lt;=教室申込!$K$5,教室申込!$K$7=0,COUNTA(教室申込!$C$4)=1),INDEX(展開用!$G$2:$G$601,MATCH(ROW()-1,展開用!$E$2:$E$601,0)),"")</f>
        <v/>
      </c>
      <c r="P300" s="11"/>
      <c r="Q300" s="11"/>
      <c r="R300" s="11"/>
      <c r="S300" s="11"/>
      <c r="T300" s="11"/>
      <c r="U300" s="11" t="str">
        <f>IF(AND(ROW()-1&lt;=教室申込!$K$5,教室申込!$K$7=0,COUNTA(教室申込!$C$4)=1),INDEX(展開用!$F$2:$F$601,MATCH(ROW()-1,展開用!$E$2:$E$601,0)),"")</f>
        <v/>
      </c>
      <c r="V300" s="11"/>
      <c r="W300" s="11"/>
      <c r="X300" s="11"/>
      <c r="Y300" s="11"/>
      <c r="Z300" s="11"/>
      <c r="AA300" s="11" t="str">
        <f>IF($AW300="","",IF(INDEX(教室申込!$J$1:$J$212,$AW300)="","",INDEX(教室申込!$J$1:$J$212,$AW300)))</f>
        <v/>
      </c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" t="str">
        <f>IF(AND(ROW()-1&lt;=教室申込!$K$5,教室申込!$K$7=0,COUNTA(教室申込!$C$4)=1),INDEX(展開用!$B$2:$B$601,MATCH(ROW()-1,展開用!$E$2:$E$601,0)),"")</f>
        <v/>
      </c>
      <c r="AX300" s="1"/>
      <c r="AY300" s="1"/>
    </row>
    <row r="301" spans="1:51" ht="24" customHeight="1">
      <c r="A301" s="11"/>
      <c r="B301" s="11"/>
      <c r="C301" s="11"/>
      <c r="D301" s="11"/>
      <c r="E301" s="11"/>
      <c r="F301" s="11"/>
      <c r="G301" s="11"/>
      <c r="H301" s="11" t="str">
        <f>IF(AND(ROW()-1&lt;=教室申込!$K$5,教室申込!$K$7=0,COUNTA(教室申込!$C$4)=1),INDEX(展開用!$C$2:$C$601,MATCH(ROW()-1,展開用!$E$2:$E$601,0)),"")</f>
        <v/>
      </c>
      <c r="I301" s="11" t="str">
        <f>IF(AND(ROW()-1&lt;=教室申込!$K$5,教室申込!$K$7=0,COUNTA(教室申込!$C$4)=1),INDEX(展開用!$D$2:$D$601,MATCH(ROW()-1,展開用!$E$2:$E$601,0)),"")</f>
        <v/>
      </c>
      <c r="J301" s="11"/>
      <c r="K301" s="11"/>
      <c r="L301" s="11" t="str">
        <f>IF(AND(ROW()-1&lt;=教室申込!$K$5,教室申込!$K$7=0,COUNTA(教室申込!$C$4)=1),INDEX(教室申込!$B$1:$B$212,$AW301),"")</f>
        <v/>
      </c>
      <c r="M301" s="11" t="str">
        <f>IF(AND(ROW()-1&lt;=教室申込!$K$5,教室申込!$K$7=0,COUNTA(教室申込!$C$4)=1),INDEX(教室申込!$C$1:$C$212,$AW301),"")</f>
        <v/>
      </c>
      <c r="N301" s="11"/>
      <c r="O301" s="12" t="str">
        <f>IF(AND(ROW()-1&lt;=教室申込!$K$5,教室申込!$K$7=0,COUNTA(教室申込!$C$4)=1),INDEX(展開用!$G$2:$G$601,MATCH(ROW()-1,展開用!$E$2:$E$601,0)),"")</f>
        <v/>
      </c>
      <c r="P301" s="11"/>
      <c r="Q301" s="11"/>
      <c r="R301" s="11"/>
      <c r="S301" s="11"/>
      <c r="T301" s="11"/>
      <c r="U301" s="11" t="str">
        <f>IF(AND(ROW()-1&lt;=教室申込!$K$5,教室申込!$K$7=0,COUNTA(教室申込!$C$4)=1),INDEX(展開用!$F$2:$F$601,MATCH(ROW()-1,展開用!$E$2:$E$601,0)),"")</f>
        <v/>
      </c>
      <c r="V301" s="11"/>
      <c r="W301" s="11"/>
      <c r="X301" s="11"/>
      <c r="Y301" s="11"/>
      <c r="Z301" s="11"/>
      <c r="AA301" s="11" t="str">
        <f>IF($AW301="","",IF(INDEX(教室申込!$J$1:$J$212,$AW301)="","",INDEX(教室申込!$J$1:$J$212,$AW301)))</f>
        <v/>
      </c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" t="str">
        <f>IF(AND(ROW()-1&lt;=教室申込!$K$5,教室申込!$K$7=0,COUNTA(教室申込!$C$4)=1),INDEX(展開用!$B$2:$B$601,MATCH(ROW()-1,展開用!$E$2:$E$601,0)),"")</f>
        <v/>
      </c>
      <c r="AX301" s="1"/>
      <c r="AY301" s="1"/>
    </row>
    <row r="302" spans="1:51" ht="24" customHeight="1">
      <c r="A302" s="11"/>
      <c r="B302" s="11"/>
      <c r="C302" s="11"/>
      <c r="D302" s="11"/>
      <c r="E302" s="11"/>
      <c r="F302" s="11"/>
      <c r="G302" s="11"/>
      <c r="H302" s="11" t="str">
        <f>IF(AND(ROW()-1&lt;=教室申込!$K$5,教室申込!$K$7=0,COUNTA(教室申込!$C$4)=1),INDEX(展開用!$C$2:$C$601,MATCH(ROW()-1,展開用!$E$2:$E$601,0)),"")</f>
        <v/>
      </c>
      <c r="I302" s="11" t="str">
        <f>IF(AND(ROW()-1&lt;=教室申込!$K$5,教室申込!$K$7=0,COUNTA(教室申込!$C$4)=1),INDEX(展開用!$D$2:$D$601,MATCH(ROW()-1,展開用!$E$2:$E$601,0)),"")</f>
        <v/>
      </c>
      <c r="J302" s="11"/>
      <c r="K302" s="11"/>
      <c r="L302" s="11" t="str">
        <f>IF(AND(ROW()-1&lt;=教室申込!$K$5,教室申込!$K$7=0,COUNTA(教室申込!$C$4)=1),INDEX(教室申込!$B$1:$B$212,$AW302),"")</f>
        <v/>
      </c>
      <c r="M302" s="11" t="str">
        <f>IF(AND(ROW()-1&lt;=教室申込!$K$5,教室申込!$K$7=0,COUNTA(教室申込!$C$4)=1),INDEX(教室申込!$C$1:$C$212,$AW302),"")</f>
        <v/>
      </c>
      <c r="N302" s="11"/>
      <c r="O302" s="12" t="str">
        <f>IF(AND(ROW()-1&lt;=教室申込!$K$5,教室申込!$K$7=0,COUNTA(教室申込!$C$4)=1),INDEX(展開用!$G$2:$G$601,MATCH(ROW()-1,展開用!$E$2:$E$601,0)),"")</f>
        <v/>
      </c>
      <c r="P302" s="11"/>
      <c r="Q302" s="11"/>
      <c r="R302" s="11"/>
      <c r="S302" s="11"/>
      <c r="T302" s="11"/>
      <c r="U302" s="11" t="str">
        <f>IF(AND(ROW()-1&lt;=教室申込!$K$5,教室申込!$K$7=0,COUNTA(教室申込!$C$4)=1),INDEX(展開用!$F$2:$F$601,MATCH(ROW()-1,展開用!$E$2:$E$601,0)),"")</f>
        <v/>
      </c>
      <c r="V302" s="11"/>
      <c r="W302" s="11"/>
      <c r="X302" s="11"/>
      <c r="Y302" s="11"/>
      <c r="Z302" s="11"/>
      <c r="AA302" s="11" t="str">
        <f>IF($AW302="","",IF(INDEX(教室申込!$J$1:$J$212,$AW302)="","",INDEX(教室申込!$J$1:$J$212,$AW302)))</f>
        <v/>
      </c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" t="str">
        <f>IF(AND(ROW()-1&lt;=教室申込!$K$5,教室申込!$K$7=0,COUNTA(教室申込!$C$4)=1),INDEX(展開用!$B$2:$B$601,MATCH(ROW()-1,展開用!$E$2:$E$601,0)),"")</f>
        <v/>
      </c>
      <c r="AX302" s="1"/>
      <c r="AY302" s="1"/>
    </row>
    <row r="303" spans="1:51" ht="24" customHeight="1">
      <c r="A303" s="11"/>
      <c r="B303" s="11"/>
      <c r="C303" s="11"/>
      <c r="D303" s="11"/>
      <c r="E303" s="11"/>
      <c r="F303" s="11"/>
      <c r="G303" s="11"/>
      <c r="H303" s="11" t="str">
        <f>IF(AND(ROW()-1&lt;=教室申込!$K$5,教室申込!$K$7=0,COUNTA(教室申込!$C$4)=1),INDEX(展開用!$C$2:$C$601,MATCH(ROW()-1,展開用!$E$2:$E$601,0)),"")</f>
        <v/>
      </c>
      <c r="I303" s="11" t="str">
        <f>IF(AND(ROW()-1&lt;=教室申込!$K$5,教室申込!$K$7=0,COUNTA(教室申込!$C$4)=1),INDEX(展開用!$D$2:$D$601,MATCH(ROW()-1,展開用!$E$2:$E$601,0)),"")</f>
        <v/>
      </c>
      <c r="J303" s="11"/>
      <c r="K303" s="11"/>
      <c r="L303" s="11" t="str">
        <f>IF(AND(ROW()-1&lt;=教室申込!$K$5,教室申込!$K$7=0,COUNTA(教室申込!$C$4)=1),INDEX(教室申込!$B$1:$B$212,$AW303),"")</f>
        <v/>
      </c>
      <c r="M303" s="11" t="str">
        <f>IF(AND(ROW()-1&lt;=教室申込!$K$5,教室申込!$K$7=0,COUNTA(教室申込!$C$4)=1),INDEX(教室申込!$C$1:$C$212,$AW303),"")</f>
        <v/>
      </c>
      <c r="N303" s="11"/>
      <c r="O303" s="12" t="str">
        <f>IF(AND(ROW()-1&lt;=教室申込!$K$5,教室申込!$K$7=0,COUNTA(教室申込!$C$4)=1),INDEX(展開用!$G$2:$G$601,MATCH(ROW()-1,展開用!$E$2:$E$601,0)),"")</f>
        <v/>
      </c>
      <c r="P303" s="11"/>
      <c r="Q303" s="11"/>
      <c r="R303" s="11"/>
      <c r="S303" s="11"/>
      <c r="T303" s="11"/>
      <c r="U303" s="11" t="str">
        <f>IF(AND(ROW()-1&lt;=教室申込!$K$5,教室申込!$K$7=0,COUNTA(教室申込!$C$4)=1),INDEX(展開用!$F$2:$F$601,MATCH(ROW()-1,展開用!$E$2:$E$601,0)),"")</f>
        <v/>
      </c>
      <c r="V303" s="11"/>
      <c r="W303" s="11"/>
      <c r="X303" s="11"/>
      <c r="Y303" s="11"/>
      <c r="Z303" s="11"/>
      <c r="AA303" s="11" t="str">
        <f>IF($AW303="","",IF(INDEX(教室申込!$J$1:$J$212,$AW303)="","",INDEX(教室申込!$J$1:$J$212,$AW303)))</f>
        <v/>
      </c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" t="str">
        <f>IF(AND(ROW()-1&lt;=教室申込!$K$5,教室申込!$K$7=0,COUNTA(教室申込!$C$4)=1),INDEX(展開用!$B$2:$B$601,MATCH(ROW()-1,展開用!$E$2:$E$601,0)),"")</f>
        <v/>
      </c>
      <c r="AX303" s="1"/>
      <c r="AY303" s="1"/>
    </row>
    <row r="304" spans="1:51" ht="24" customHeight="1">
      <c r="A304" s="11"/>
      <c r="B304" s="11"/>
      <c r="C304" s="11"/>
      <c r="D304" s="11"/>
      <c r="E304" s="11"/>
      <c r="F304" s="11"/>
      <c r="G304" s="11"/>
      <c r="H304" s="11" t="str">
        <f>IF(AND(ROW()-1&lt;=教室申込!$K$5,教室申込!$K$7=0,COUNTA(教室申込!$C$4)=1),INDEX(展開用!$C$2:$C$601,MATCH(ROW()-1,展開用!$E$2:$E$601,0)),"")</f>
        <v/>
      </c>
      <c r="I304" s="11" t="str">
        <f>IF(AND(ROW()-1&lt;=教室申込!$K$5,教室申込!$K$7=0,COUNTA(教室申込!$C$4)=1),INDEX(展開用!$D$2:$D$601,MATCH(ROW()-1,展開用!$E$2:$E$601,0)),"")</f>
        <v/>
      </c>
      <c r="J304" s="11"/>
      <c r="K304" s="11"/>
      <c r="L304" s="11" t="str">
        <f>IF(AND(ROW()-1&lt;=教室申込!$K$5,教室申込!$K$7=0,COUNTA(教室申込!$C$4)=1),INDEX(教室申込!$B$1:$B$212,$AW304),"")</f>
        <v/>
      </c>
      <c r="M304" s="11" t="str">
        <f>IF(AND(ROW()-1&lt;=教室申込!$K$5,教室申込!$K$7=0,COUNTA(教室申込!$C$4)=1),INDEX(教室申込!$C$1:$C$212,$AW304),"")</f>
        <v/>
      </c>
      <c r="N304" s="11"/>
      <c r="O304" s="12" t="str">
        <f>IF(AND(ROW()-1&lt;=教室申込!$K$5,教室申込!$K$7=0,COUNTA(教室申込!$C$4)=1),INDEX(展開用!$G$2:$G$601,MATCH(ROW()-1,展開用!$E$2:$E$601,0)),"")</f>
        <v/>
      </c>
      <c r="P304" s="11"/>
      <c r="Q304" s="11"/>
      <c r="R304" s="11"/>
      <c r="S304" s="11"/>
      <c r="T304" s="11"/>
      <c r="U304" s="11" t="str">
        <f>IF(AND(ROW()-1&lt;=教室申込!$K$5,教室申込!$K$7=0,COUNTA(教室申込!$C$4)=1),INDEX(展開用!$F$2:$F$601,MATCH(ROW()-1,展開用!$E$2:$E$601,0)),"")</f>
        <v/>
      </c>
      <c r="V304" s="11"/>
      <c r="W304" s="11"/>
      <c r="X304" s="11"/>
      <c r="Y304" s="11"/>
      <c r="Z304" s="11"/>
      <c r="AA304" s="11" t="str">
        <f>IF($AW304="","",IF(INDEX(教室申込!$J$1:$J$212,$AW304)="","",INDEX(教室申込!$J$1:$J$212,$AW304)))</f>
        <v/>
      </c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" t="str">
        <f>IF(AND(ROW()-1&lt;=教室申込!$K$5,教室申込!$K$7=0,COUNTA(教室申込!$C$4)=1),INDEX(展開用!$B$2:$B$601,MATCH(ROW()-1,展開用!$E$2:$E$601,0)),"")</f>
        <v/>
      </c>
      <c r="AX304" s="1"/>
      <c r="AY304" s="1"/>
    </row>
    <row r="305" spans="1:51" ht="24" customHeight="1">
      <c r="A305" s="11"/>
      <c r="B305" s="11"/>
      <c r="C305" s="11"/>
      <c r="D305" s="11"/>
      <c r="E305" s="11"/>
      <c r="F305" s="11"/>
      <c r="G305" s="11"/>
      <c r="H305" s="11" t="str">
        <f>IF(AND(ROW()-1&lt;=教室申込!$K$5,教室申込!$K$7=0,COUNTA(教室申込!$C$4)=1),INDEX(展開用!$C$2:$C$601,MATCH(ROW()-1,展開用!$E$2:$E$601,0)),"")</f>
        <v/>
      </c>
      <c r="I305" s="11" t="str">
        <f>IF(AND(ROW()-1&lt;=教室申込!$K$5,教室申込!$K$7=0,COUNTA(教室申込!$C$4)=1),INDEX(展開用!$D$2:$D$601,MATCH(ROW()-1,展開用!$E$2:$E$601,0)),"")</f>
        <v/>
      </c>
      <c r="J305" s="11"/>
      <c r="K305" s="11"/>
      <c r="L305" s="11" t="str">
        <f>IF(AND(ROW()-1&lt;=教室申込!$K$5,教室申込!$K$7=0,COUNTA(教室申込!$C$4)=1),INDEX(教室申込!$B$1:$B$212,$AW305),"")</f>
        <v/>
      </c>
      <c r="M305" s="11" t="str">
        <f>IF(AND(ROW()-1&lt;=教室申込!$K$5,教室申込!$K$7=0,COUNTA(教室申込!$C$4)=1),INDEX(教室申込!$C$1:$C$212,$AW305),"")</f>
        <v/>
      </c>
      <c r="N305" s="11"/>
      <c r="O305" s="12" t="str">
        <f>IF(AND(ROW()-1&lt;=教室申込!$K$5,教室申込!$K$7=0,COUNTA(教室申込!$C$4)=1),INDEX(展開用!$G$2:$G$601,MATCH(ROW()-1,展開用!$E$2:$E$601,0)),"")</f>
        <v/>
      </c>
      <c r="P305" s="11"/>
      <c r="Q305" s="11"/>
      <c r="R305" s="11"/>
      <c r="S305" s="11"/>
      <c r="T305" s="11"/>
      <c r="U305" s="11" t="str">
        <f>IF(AND(ROW()-1&lt;=教室申込!$K$5,教室申込!$K$7=0,COUNTA(教室申込!$C$4)=1),INDEX(展開用!$F$2:$F$601,MATCH(ROW()-1,展開用!$E$2:$E$601,0)),"")</f>
        <v/>
      </c>
      <c r="V305" s="11"/>
      <c r="W305" s="11"/>
      <c r="X305" s="11"/>
      <c r="Y305" s="11"/>
      <c r="Z305" s="11"/>
      <c r="AA305" s="11" t="str">
        <f>IF($AW305="","",IF(INDEX(教室申込!$J$1:$J$212,$AW305)="","",INDEX(教室申込!$J$1:$J$212,$AW305)))</f>
        <v/>
      </c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" t="str">
        <f>IF(AND(ROW()-1&lt;=教室申込!$K$5,教室申込!$K$7=0,COUNTA(教室申込!$C$4)=1),INDEX(展開用!$B$2:$B$601,MATCH(ROW()-1,展開用!$E$2:$E$601,0)),"")</f>
        <v/>
      </c>
      <c r="AX305" s="1"/>
      <c r="AY305" s="1"/>
    </row>
    <row r="306" spans="1:51" ht="24" customHeight="1">
      <c r="A306" s="11"/>
      <c r="B306" s="11"/>
      <c r="C306" s="11"/>
      <c r="D306" s="11"/>
      <c r="E306" s="11"/>
      <c r="F306" s="11"/>
      <c r="G306" s="11"/>
      <c r="H306" s="11" t="str">
        <f>IF(AND(ROW()-1&lt;=教室申込!$K$5,教室申込!$K$7=0,COUNTA(教室申込!$C$4)=1),INDEX(展開用!$C$2:$C$601,MATCH(ROW()-1,展開用!$E$2:$E$601,0)),"")</f>
        <v/>
      </c>
      <c r="I306" s="11" t="str">
        <f>IF(AND(ROW()-1&lt;=教室申込!$K$5,教室申込!$K$7=0,COUNTA(教室申込!$C$4)=1),INDEX(展開用!$D$2:$D$601,MATCH(ROW()-1,展開用!$E$2:$E$601,0)),"")</f>
        <v/>
      </c>
      <c r="J306" s="11"/>
      <c r="K306" s="11"/>
      <c r="L306" s="11" t="str">
        <f>IF(AND(ROW()-1&lt;=教室申込!$K$5,教室申込!$K$7=0,COUNTA(教室申込!$C$4)=1),INDEX(教室申込!$B$1:$B$212,$AW306),"")</f>
        <v/>
      </c>
      <c r="M306" s="11" t="str">
        <f>IF(AND(ROW()-1&lt;=教室申込!$K$5,教室申込!$K$7=0,COUNTA(教室申込!$C$4)=1),INDEX(教室申込!$C$1:$C$212,$AW306),"")</f>
        <v/>
      </c>
      <c r="N306" s="11"/>
      <c r="O306" s="12" t="str">
        <f>IF(AND(ROW()-1&lt;=教室申込!$K$5,教室申込!$K$7=0,COUNTA(教室申込!$C$4)=1),INDEX(展開用!$G$2:$G$601,MATCH(ROW()-1,展開用!$E$2:$E$601,0)),"")</f>
        <v/>
      </c>
      <c r="P306" s="11"/>
      <c r="Q306" s="11"/>
      <c r="R306" s="11"/>
      <c r="S306" s="11"/>
      <c r="T306" s="11"/>
      <c r="U306" s="11" t="str">
        <f>IF(AND(ROW()-1&lt;=教室申込!$K$5,教室申込!$K$7=0,COUNTA(教室申込!$C$4)=1),INDEX(展開用!$F$2:$F$601,MATCH(ROW()-1,展開用!$E$2:$E$601,0)),"")</f>
        <v/>
      </c>
      <c r="V306" s="11"/>
      <c r="W306" s="11"/>
      <c r="X306" s="11"/>
      <c r="Y306" s="11"/>
      <c r="Z306" s="11"/>
      <c r="AA306" s="11" t="str">
        <f>IF($AW306="","",IF(INDEX(教室申込!$J$1:$J$212,$AW306)="","",INDEX(教室申込!$J$1:$J$212,$AW306)))</f>
        <v/>
      </c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" t="str">
        <f>IF(AND(ROW()-1&lt;=教室申込!$K$5,教室申込!$K$7=0,COUNTA(教室申込!$C$4)=1),INDEX(展開用!$B$2:$B$601,MATCH(ROW()-1,展開用!$E$2:$E$601,0)),"")</f>
        <v/>
      </c>
      <c r="AX306" s="1"/>
      <c r="AY306" s="1"/>
    </row>
    <row r="307" spans="1:51" ht="24" customHeight="1">
      <c r="A307" s="11"/>
      <c r="B307" s="11"/>
      <c r="C307" s="11"/>
      <c r="D307" s="11"/>
      <c r="E307" s="11"/>
      <c r="F307" s="11"/>
      <c r="G307" s="11"/>
      <c r="H307" s="11" t="str">
        <f>IF(AND(ROW()-1&lt;=教室申込!$K$5,教室申込!$K$7=0,COUNTA(教室申込!$C$4)=1),INDEX(展開用!$C$2:$C$601,MATCH(ROW()-1,展開用!$E$2:$E$601,0)),"")</f>
        <v/>
      </c>
      <c r="I307" s="11" t="str">
        <f>IF(AND(ROW()-1&lt;=教室申込!$K$5,教室申込!$K$7=0,COUNTA(教室申込!$C$4)=1),INDEX(展開用!$D$2:$D$601,MATCH(ROW()-1,展開用!$E$2:$E$601,0)),"")</f>
        <v/>
      </c>
      <c r="J307" s="11"/>
      <c r="K307" s="11"/>
      <c r="L307" s="11" t="str">
        <f>IF(AND(ROW()-1&lt;=教室申込!$K$5,教室申込!$K$7=0,COUNTA(教室申込!$C$4)=1),INDEX(教室申込!$B$1:$B$212,$AW307),"")</f>
        <v/>
      </c>
      <c r="M307" s="11" t="str">
        <f>IF(AND(ROW()-1&lt;=教室申込!$K$5,教室申込!$K$7=0,COUNTA(教室申込!$C$4)=1),INDEX(教室申込!$C$1:$C$212,$AW307),"")</f>
        <v/>
      </c>
      <c r="N307" s="11"/>
      <c r="O307" s="12" t="str">
        <f>IF(AND(ROW()-1&lt;=教室申込!$K$5,教室申込!$K$7=0,COUNTA(教室申込!$C$4)=1),INDEX(展開用!$G$2:$G$601,MATCH(ROW()-1,展開用!$E$2:$E$601,0)),"")</f>
        <v/>
      </c>
      <c r="P307" s="11"/>
      <c r="Q307" s="11"/>
      <c r="R307" s="11"/>
      <c r="S307" s="11"/>
      <c r="T307" s="11"/>
      <c r="U307" s="11" t="str">
        <f>IF(AND(ROW()-1&lt;=教室申込!$K$5,教室申込!$K$7=0,COUNTA(教室申込!$C$4)=1),INDEX(展開用!$F$2:$F$601,MATCH(ROW()-1,展開用!$E$2:$E$601,0)),"")</f>
        <v/>
      </c>
      <c r="V307" s="11"/>
      <c r="W307" s="11"/>
      <c r="X307" s="11"/>
      <c r="Y307" s="11"/>
      <c r="Z307" s="11"/>
      <c r="AA307" s="11" t="str">
        <f>IF($AW307="","",IF(INDEX(教室申込!$J$1:$J$212,$AW307)="","",INDEX(教室申込!$J$1:$J$212,$AW307)))</f>
        <v/>
      </c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" t="str">
        <f>IF(AND(ROW()-1&lt;=教室申込!$K$5,教室申込!$K$7=0,COUNTA(教室申込!$C$4)=1),INDEX(展開用!$B$2:$B$601,MATCH(ROW()-1,展開用!$E$2:$E$601,0)),"")</f>
        <v/>
      </c>
      <c r="AX307" s="1"/>
      <c r="AY307" s="1"/>
    </row>
    <row r="308" spans="1:51" ht="24" customHeight="1">
      <c r="A308" s="11"/>
      <c r="B308" s="11"/>
      <c r="C308" s="11"/>
      <c r="D308" s="11"/>
      <c r="E308" s="11"/>
      <c r="F308" s="11"/>
      <c r="G308" s="11"/>
      <c r="H308" s="11" t="str">
        <f>IF(AND(ROW()-1&lt;=教室申込!$K$5,教室申込!$K$7=0,COUNTA(教室申込!$C$4)=1),INDEX(展開用!$C$2:$C$601,MATCH(ROW()-1,展開用!$E$2:$E$601,0)),"")</f>
        <v/>
      </c>
      <c r="I308" s="11" t="str">
        <f>IF(AND(ROW()-1&lt;=教室申込!$K$5,教室申込!$K$7=0,COUNTA(教室申込!$C$4)=1),INDEX(展開用!$D$2:$D$601,MATCH(ROW()-1,展開用!$E$2:$E$601,0)),"")</f>
        <v/>
      </c>
      <c r="J308" s="11"/>
      <c r="K308" s="11"/>
      <c r="L308" s="11" t="str">
        <f>IF(AND(ROW()-1&lt;=教室申込!$K$5,教室申込!$K$7=0,COUNTA(教室申込!$C$4)=1),INDEX(教室申込!$B$1:$B$212,$AW308),"")</f>
        <v/>
      </c>
      <c r="M308" s="11" t="str">
        <f>IF(AND(ROW()-1&lt;=教室申込!$K$5,教室申込!$K$7=0,COUNTA(教室申込!$C$4)=1),INDEX(教室申込!$C$1:$C$212,$AW308),"")</f>
        <v/>
      </c>
      <c r="N308" s="11"/>
      <c r="O308" s="12" t="str">
        <f>IF(AND(ROW()-1&lt;=教室申込!$K$5,教室申込!$K$7=0,COUNTA(教室申込!$C$4)=1),INDEX(展開用!$G$2:$G$601,MATCH(ROW()-1,展開用!$E$2:$E$601,0)),"")</f>
        <v/>
      </c>
      <c r="P308" s="11"/>
      <c r="Q308" s="11"/>
      <c r="R308" s="11"/>
      <c r="S308" s="11"/>
      <c r="T308" s="11"/>
      <c r="U308" s="11" t="str">
        <f>IF(AND(ROW()-1&lt;=教室申込!$K$5,教室申込!$K$7=0,COUNTA(教室申込!$C$4)=1),INDEX(展開用!$F$2:$F$601,MATCH(ROW()-1,展開用!$E$2:$E$601,0)),"")</f>
        <v/>
      </c>
      <c r="V308" s="11"/>
      <c r="W308" s="11"/>
      <c r="X308" s="11"/>
      <c r="Y308" s="11"/>
      <c r="Z308" s="11"/>
      <c r="AA308" s="11" t="str">
        <f>IF($AW308="","",IF(INDEX(教室申込!$J$1:$J$212,$AW308)="","",INDEX(教室申込!$J$1:$J$212,$AW308)))</f>
        <v/>
      </c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" t="str">
        <f>IF(AND(ROW()-1&lt;=教室申込!$K$5,教室申込!$K$7=0,COUNTA(教室申込!$C$4)=1),INDEX(展開用!$B$2:$B$601,MATCH(ROW()-1,展開用!$E$2:$E$601,0)),"")</f>
        <v/>
      </c>
      <c r="AX308" s="1"/>
      <c r="AY308" s="1"/>
    </row>
    <row r="309" spans="1:51" ht="24" customHeight="1">
      <c r="A309" s="11"/>
      <c r="B309" s="11"/>
      <c r="C309" s="11"/>
      <c r="D309" s="11"/>
      <c r="E309" s="11"/>
      <c r="F309" s="11"/>
      <c r="G309" s="11"/>
      <c r="H309" s="11" t="str">
        <f>IF(AND(ROW()-1&lt;=教室申込!$K$5,教室申込!$K$7=0,COUNTA(教室申込!$C$4)=1),INDEX(展開用!$C$2:$C$601,MATCH(ROW()-1,展開用!$E$2:$E$601,0)),"")</f>
        <v/>
      </c>
      <c r="I309" s="11" t="str">
        <f>IF(AND(ROW()-1&lt;=教室申込!$K$5,教室申込!$K$7=0,COUNTA(教室申込!$C$4)=1),INDEX(展開用!$D$2:$D$601,MATCH(ROW()-1,展開用!$E$2:$E$601,0)),"")</f>
        <v/>
      </c>
      <c r="J309" s="11"/>
      <c r="K309" s="11"/>
      <c r="L309" s="11" t="str">
        <f>IF(AND(ROW()-1&lt;=教室申込!$K$5,教室申込!$K$7=0,COUNTA(教室申込!$C$4)=1),INDEX(教室申込!$B$1:$B$212,$AW309),"")</f>
        <v/>
      </c>
      <c r="M309" s="11" t="str">
        <f>IF(AND(ROW()-1&lt;=教室申込!$K$5,教室申込!$K$7=0,COUNTA(教室申込!$C$4)=1),INDEX(教室申込!$C$1:$C$212,$AW309),"")</f>
        <v/>
      </c>
      <c r="N309" s="11"/>
      <c r="O309" s="12" t="str">
        <f>IF(AND(ROW()-1&lt;=教室申込!$K$5,教室申込!$K$7=0,COUNTA(教室申込!$C$4)=1),INDEX(展開用!$G$2:$G$601,MATCH(ROW()-1,展開用!$E$2:$E$601,0)),"")</f>
        <v/>
      </c>
      <c r="P309" s="11"/>
      <c r="Q309" s="11"/>
      <c r="R309" s="11"/>
      <c r="S309" s="11"/>
      <c r="T309" s="11"/>
      <c r="U309" s="11" t="str">
        <f>IF(AND(ROW()-1&lt;=教室申込!$K$5,教室申込!$K$7=0,COUNTA(教室申込!$C$4)=1),INDEX(展開用!$F$2:$F$601,MATCH(ROW()-1,展開用!$E$2:$E$601,0)),"")</f>
        <v/>
      </c>
      <c r="V309" s="11"/>
      <c r="W309" s="11"/>
      <c r="X309" s="11"/>
      <c r="Y309" s="11"/>
      <c r="Z309" s="11"/>
      <c r="AA309" s="11" t="str">
        <f>IF($AW309="","",IF(INDEX(教室申込!$J$1:$J$212,$AW309)="","",INDEX(教室申込!$J$1:$J$212,$AW309)))</f>
        <v/>
      </c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" t="str">
        <f>IF(AND(ROW()-1&lt;=教室申込!$K$5,教室申込!$K$7=0,COUNTA(教室申込!$C$4)=1),INDEX(展開用!$B$2:$B$601,MATCH(ROW()-1,展開用!$E$2:$E$601,0)),"")</f>
        <v/>
      </c>
      <c r="AX309" s="1"/>
      <c r="AY309" s="1"/>
    </row>
    <row r="310" spans="1:51" ht="24" customHeight="1">
      <c r="A310" s="11"/>
      <c r="B310" s="11"/>
      <c r="C310" s="11"/>
      <c r="D310" s="11"/>
      <c r="E310" s="11"/>
      <c r="F310" s="11"/>
      <c r="G310" s="11"/>
      <c r="H310" s="11" t="str">
        <f>IF(AND(ROW()-1&lt;=教室申込!$K$5,教室申込!$K$7=0,COUNTA(教室申込!$C$4)=1),INDEX(展開用!$C$2:$C$601,MATCH(ROW()-1,展開用!$E$2:$E$601,0)),"")</f>
        <v/>
      </c>
      <c r="I310" s="11" t="str">
        <f>IF(AND(ROW()-1&lt;=教室申込!$K$5,教室申込!$K$7=0,COUNTA(教室申込!$C$4)=1),INDEX(展開用!$D$2:$D$601,MATCH(ROW()-1,展開用!$E$2:$E$601,0)),"")</f>
        <v/>
      </c>
      <c r="J310" s="11"/>
      <c r="K310" s="11"/>
      <c r="L310" s="11" t="str">
        <f>IF(AND(ROW()-1&lt;=教室申込!$K$5,教室申込!$K$7=0,COUNTA(教室申込!$C$4)=1),INDEX(教室申込!$B$1:$B$212,$AW310),"")</f>
        <v/>
      </c>
      <c r="M310" s="11" t="str">
        <f>IF(AND(ROW()-1&lt;=教室申込!$K$5,教室申込!$K$7=0,COUNTA(教室申込!$C$4)=1),INDEX(教室申込!$C$1:$C$212,$AW310),"")</f>
        <v/>
      </c>
      <c r="N310" s="11"/>
      <c r="O310" s="12" t="str">
        <f>IF(AND(ROW()-1&lt;=教室申込!$K$5,教室申込!$K$7=0,COUNTA(教室申込!$C$4)=1),INDEX(展開用!$G$2:$G$601,MATCH(ROW()-1,展開用!$E$2:$E$601,0)),"")</f>
        <v/>
      </c>
      <c r="P310" s="11"/>
      <c r="Q310" s="11"/>
      <c r="R310" s="11"/>
      <c r="S310" s="11"/>
      <c r="T310" s="11"/>
      <c r="U310" s="11" t="str">
        <f>IF(AND(ROW()-1&lt;=教室申込!$K$5,教室申込!$K$7=0,COUNTA(教室申込!$C$4)=1),INDEX(展開用!$F$2:$F$601,MATCH(ROW()-1,展開用!$E$2:$E$601,0)),"")</f>
        <v/>
      </c>
      <c r="V310" s="11"/>
      <c r="W310" s="11"/>
      <c r="X310" s="11"/>
      <c r="Y310" s="11"/>
      <c r="Z310" s="11"/>
      <c r="AA310" s="11" t="str">
        <f>IF($AW310="","",IF(INDEX(教室申込!$J$1:$J$212,$AW310)="","",INDEX(教室申込!$J$1:$J$212,$AW310)))</f>
        <v/>
      </c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" t="str">
        <f>IF(AND(ROW()-1&lt;=教室申込!$K$5,教室申込!$K$7=0,COUNTA(教室申込!$C$4)=1),INDEX(展開用!$B$2:$B$601,MATCH(ROW()-1,展開用!$E$2:$E$601,0)),"")</f>
        <v/>
      </c>
      <c r="AX310" s="1"/>
      <c r="AY310" s="1"/>
    </row>
    <row r="311" spans="1:51" ht="24" customHeight="1">
      <c r="A311" s="11"/>
      <c r="B311" s="11"/>
      <c r="C311" s="11"/>
      <c r="D311" s="11"/>
      <c r="E311" s="11"/>
      <c r="F311" s="11"/>
      <c r="G311" s="11"/>
      <c r="H311" s="11" t="str">
        <f>IF(AND(ROW()-1&lt;=教室申込!$K$5,教室申込!$K$7=0,COUNTA(教室申込!$C$4)=1),INDEX(展開用!$C$2:$C$601,MATCH(ROW()-1,展開用!$E$2:$E$601,0)),"")</f>
        <v/>
      </c>
      <c r="I311" s="11" t="str">
        <f>IF(AND(ROW()-1&lt;=教室申込!$K$5,教室申込!$K$7=0,COUNTA(教室申込!$C$4)=1),INDEX(展開用!$D$2:$D$601,MATCH(ROW()-1,展開用!$E$2:$E$601,0)),"")</f>
        <v/>
      </c>
      <c r="J311" s="11"/>
      <c r="K311" s="11"/>
      <c r="L311" s="11" t="str">
        <f>IF(AND(ROW()-1&lt;=教室申込!$K$5,教室申込!$K$7=0,COUNTA(教室申込!$C$4)=1),INDEX(教室申込!$B$1:$B$212,$AW311),"")</f>
        <v/>
      </c>
      <c r="M311" s="11" t="str">
        <f>IF(AND(ROW()-1&lt;=教室申込!$K$5,教室申込!$K$7=0,COUNTA(教室申込!$C$4)=1),INDEX(教室申込!$C$1:$C$212,$AW311),"")</f>
        <v/>
      </c>
      <c r="N311" s="11"/>
      <c r="O311" s="12" t="str">
        <f>IF(AND(ROW()-1&lt;=教室申込!$K$5,教室申込!$K$7=0,COUNTA(教室申込!$C$4)=1),INDEX(展開用!$G$2:$G$601,MATCH(ROW()-1,展開用!$E$2:$E$601,0)),"")</f>
        <v/>
      </c>
      <c r="P311" s="11"/>
      <c r="Q311" s="11"/>
      <c r="R311" s="11"/>
      <c r="S311" s="11"/>
      <c r="T311" s="11"/>
      <c r="U311" s="11" t="str">
        <f>IF(AND(ROW()-1&lt;=教室申込!$K$5,教室申込!$K$7=0,COUNTA(教室申込!$C$4)=1),INDEX(展開用!$F$2:$F$601,MATCH(ROW()-1,展開用!$E$2:$E$601,0)),"")</f>
        <v/>
      </c>
      <c r="V311" s="11"/>
      <c r="W311" s="11"/>
      <c r="X311" s="11"/>
      <c r="Y311" s="11"/>
      <c r="Z311" s="11"/>
      <c r="AA311" s="11" t="str">
        <f>IF($AW311="","",IF(INDEX(教室申込!$J$1:$J$212,$AW311)="","",INDEX(教室申込!$J$1:$J$212,$AW311)))</f>
        <v/>
      </c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" t="str">
        <f>IF(AND(ROW()-1&lt;=教室申込!$K$5,教室申込!$K$7=0,COUNTA(教室申込!$C$4)=1),INDEX(展開用!$B$2:$B$601,MATCH(ROW()-1,展開用!$E$2:$E$601,0)),"")</f>
        <v/>
      </c>
      <c r="AX311" s="1"/>
      <c r="AY311" s="1"/>
    </row>
    <row r="312" spans="1:51" ht="24" customHeight="1">
      <c r="A312" s="11"/>
      <c r="B312" s="11"/>
      <c r="C312" s="11"/>
      <c r="D312" s="11"/>
      <c r="E312" s="11"/>
      <c r="F312" s="11"/>
      <c r="G312" s="11"/>
      <c r="H312" s="11" t="str">
        <f>IF(AND(ROW()-1&lt;=教室申込!$K$5,教室申込!$K$7=0,COUNTA(教室申込!$C$4)=1),INDEX(展開用!$C$2:$C$601,MATCH(ROW()-1,展開用!$E$2:$E$601,0)),"")</f>
        <v/>
      </c>
      <c r="I312" s="11" t="str">
        <f>IF(AND(ROW()-1&lt;=教室申込!$K$5,教室申込!$K$7=0,COUNTA(教室申込!$C$4)=1),INDEX(展開用!$D$2:$D$601,MATCH(ROW()-1,展開用!$E$2:$E$601,0)),"")</f>
        <v/>
      </c>
      <c r="J312" s="11"/>
      <c r="K312" s="11"/>
      <c r="L312" s="11" t="str">
        <f>IF(AND(ROW()-1&lt;=教室申込!$K$5,教室申込!$K$7=0,COUNTA(教室申込!$C$4)=1),INDEX(教室申込!$B$1:$B$212,$AW312),"")</f>
        <v/>
      </c>
      <c r="M312" s="11" t="str">
        <f>IF(AND(ROW()-1&lt;=教室申込!$K$5,教室申込!$K$7=0,COUNTA(教室申込!$C$4)=1),INDEX(教室申込!$C$1:$C$212,$AW312),"")</f>
        <v/>
      </c>
      <c r="N312" s="11"/>
      <c r="O312" s="12" t="str">
        <f>IF(AND(ROW()-1&lt;=教室申込!$K$5,教室申込!$K$7=0,COUNTA(教室申込!$C$4)=1),INDEX(展開用!$G$2:$G$601,MATCH(ROW()-1,展開用!$E$2:$E$601,0)),"")</f>
        <v/>
      </c>
      <c r="P312" s="11"/>
      <c r="Q312" s="11"/>
      <c r="R312" s="11"/>
      <c r="S312" s="11"/>
      <c r="T312" s="11"/>
      <c r="U312" s="11" t="str">
        <f>IF(AND(ROW()-1&lt;=教室申込!$K$5,教室申込!$K$7=0,COUNTA(教室申込!$C$4)=1),INDEX(展開用!$F$2:$F$601,MATCH(ROW()-1,展開用!$E$2:$E$601,0)),"")</f>
        <v/>
      </c>
      <c r="V312" s="11"/>
      <c r="W312" s="11"/>
      <c r="X312" s="11"/>
      <c r="Y312" s="11"/>
      <c r="Z312" s="11"/>
      <c r="AA312" s="11" t="str">
        <f>IF($AW312="","",IF(INDEX(教室申込!$J$1:$J$212,$AW312)="","",INDEX(教室申込!$J$1:$J$212,$AW312)))</f>
        <v/>
      </c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" t="str">
        <f>IF(AND(ROW()-1&lt;=教室申込!$K$5,教室申込!$K$7=0,COUNTA(教室申込!$C$4)=1),INDEX(展開用!$B$2:$B$601,MATCH(ROW()-1,展開用!$E$2:$E$601,0)),"")</f>
        <v/>
      </c>
      <c r="AX312" s="1"/>
      <c r="AY312" s="1"/>
    </row>
    <row r="313" spans="1:51" ht="24" customHeight="1">
      <c r="A313" s="11"/>
      <c r="B313" s="11"/>
      <c r="C313" s="11"/>
      <c r="D313" s="11"/>
      <c r="E313" s="11"/>
      <c r="F313" s="11"/>
      <c r="G313" s="11"/>
      <c r="H313" s="11" t="str">
        <f>IF(AND(ROW()-1&lt;=教室申込!$K$5,教室申込!$K$7=0,COUNTA(教室申込!$C$4)=1),INDEX(展開用!$C$2:$C$601,MATCH(ROW()-1,展開用!$E$2:$E$601,0)),"")</f>
        <v/>
      </c>
      <c r="I313" s="11" t="str">
        <f>IF(AND(ROW()-1&lt;=教室申込!$K$5,教室申込!$K$7=0,COUNTA(教室申込!$C$4)=1),INDEX(展開用!$D$2:$D$601,MATCH(ROW()-1,展開用!$E$2:$E$601,0)),"")</f>
        <v/>
      </c>
      <c r="J313" s="11"/>
      <c r="K313" s="11"/>
      <c r="L313" s="11" t="str">
        <f>IF(AND(ROW()-1&lt;=教室申込!$K$5,教室申込!$K$7=0,COUNTA(教室申込!$C$4)=1),INDEX(教室申込!$B$1:$B$212,$AW313),"")</f>
        <v/>
      </c>
      <c r="M313" s="11" t="str">
        <f>IF(AND(ROW()-1&lt;=教室申込!$K$5,教室申込!$K$7=0,COUNTA(教室申込!$C$4)=1),INDEX(教室申込!$C$1:$C$212,$AW313),"")</f>
        <v/>
      </c>
      <c r="N313" s="11"/>
      <c r="O313" s="12" t="str">
        <f>IF(AND(ROW()-1&lt;=教室申込!$K$5,教室申込!$K$7=0,COUNTA(教室申込!$C$4)=1),INDEX(展開用!$G$2:$G$601,MATCH(ROW()-1,展開用!$E$2:$E$601,0)),"")</f>
        <v/>
      </c>
      <c r="P313" s="11"/>
      <c r="Q313" s="11"/>
      <c r="R313" s="11"/>
      <c r="S313" s="11"/>
      <c r="T313" s="11"/>
      <c r="U313" s="11" t="str">
        <f>IF(AND(ROW()-1&lt;=教室申込!$K$5,教室申込!$K$7=0,COUNTA(教室申込!$C$4)=1),INDEX(展開用!$F$2:$F$601,MATCH(ROW()-1,展開用!$E$2:$E$601,0)),"")</f>
        <v/>
      </c>
      <c r="V313" s="11"/>
      <c r="W313" s="11"/>
      <c r="X313" s="11"/>
      <c r="Y313" s="11"/>
      <c r="Z313" s="11"/>
      <c r="AA313" s="11" t="str">
        <f>IF($AW313="","",IF(INDEX(教室申込!$J$1:$J$212,$AW313)="","",INDEX(教室申込!$J$1:$J$212,$AW313)))</f>
        <v/>
      </c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" t="str">
        <f>IF(AND(ROW()-1&lt;=教室申込!$K$5,教室申込!$K$7=0,COUNTA(教室申込!$C$4)=1),INDEX(展開用!$B$2:$B$601,MATCH(ROW()-1,展開用!$E$2:$E$601,0)),"")</f>
        <v/>
      </c>
      <c r="AX313" s="1"/>
      <c r="AY313" s="1"/>
    </row>
    <row r="314" spans="1:51" ht="24" customHeight="1">
      <c r="A314" s="11"/>
      <c r="B314" s="11"/>
      <c r="C314" s="11"/>
      <c r="D314" s="11"/>
      <c r="E314" s="11"/>
      <c r="F314" s="11"/>
      <c r="G314" s="11"/>
      <c r="H314" s="11" t="str">
        <f>IF(AND(ROW()-1&lt;=教室申込!$K$5,教室申込!$K$7=0,COUNTA(教室申込!$C$4)=1),INDEX(展開用!$C$2:$C$601,MATCH(ROW()-1,展開用!$E$2:$E$601,0)),"")</f>
        <v/>
      </c>
      <c r="I314" s="11" t="str">
        <f>IF(AND(ROW()-1&lt;=教室申込!$K$5,教室申込!$K$7=0,COUNTA(教室申込!$C$4)=1),INDEX(展開用!$D$2:$D$601,MATCH(ROW()-1,展開用!$E$2:$E$601,0)),"")</f>
        <v/>
      </c>
      <c r="J314" s="11"/>
      <c r="K314" s="11"/>
      <c r="L314" s="11" t="str">
        <f>IF(AND(ROW()-1&lt;=教室申込!$K$5,教室申込!$K$7=0,COUNTA(教室申込!$C$4)=1),INDEX(教室申込!$B$1:$B$212,$AW314),"")</f>
        <v/>
      </c>
      <c r="M314" s="11" t="str">
        <f>IF(AND(ROW()-1&lt;=教室申込!$K$5,教室申込!$K$7=0,COUNTA(教室申込!$C$4)=1),INDEX(教室申込!$C$1:$C$212,$AW314),"")</f>
        <v/>
      </c>
      <c r="N314" s="11"/>
      <c r="O314" s="12" t="str">
        <f>IF(AND(ROW()-1&lt;=教室申込!$K$5,教室申込!$K$7=0,COUNTA(教室申込!$C$4)=1),INDEX(展開用!$G$2:$G$601,MATCH(ROW()-1,展開用!$E$2:$E$601,0)),"")</f>
        <v/>
      </c>
      <c r="P314" s="11"/>
      <c r="Q314" s="11"/>
      <c r="R314" s="11"/>
      <c r="S314" s="11"/>
      <c r="T314" s="11"/>
      <c r="U314" s="11" t="str">
        <f>IF(AND(ROW()-1&lt;=教室申込!$K$5,教室申込!$K$7=0,COUNTA(教室申込!$C$4)=1),INDEX(展開用!$F$2:$F$601,MATCH(ROW()-1,展開用!$E$2:$E$601,0)),"")</f>
        <v/>
      </c>
      <c r="V314" s="11"/>
      <c r="W314" s="11"/>
      <c r="X314" s="11"/>
      <c r="Y314" s="11"/>
      <c r="Z314" s="11"/>
      <c r="AA314" s="11" t="str">
        <f>IF($AW314="","",IF(INDEX(教室申込!$J$1:$J$212,$AW314)="","",INDEX(教室申込!$J$1:$J$212,$AW314)))</f>
        <v/>
      </c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" t="str">
        <f>IF(AND(ROW()-1&lt;=教室申込!$K$5,教室申込!$K$7=0,COUNTA(教室申込!$C$4)=1),INDEX(展開用!$B$2:$B$601,MATCH(ROW()-1,展開用!$E$2:$E$601,0)),"")</f>
        <v/>
      </c>
      <c r="AX314" s="1"/>
      <c r="AY314" s="1"/>
    </row>
    <row r="315" spans="1:51" ht="24" customHeight="1">
      <c r="A315" s="11"/>
      <c r="B315" s="11"/>
      <c r="C315" s="11"/>
      <c r="D315" s="11"/>
      <c r="E315" s="11"/>
      <c r="F315" s="11"/>
      <c r="G315" s="11"/>
      <c r="H315" s="11" t="str">
        <f>IF(AND(ROW()-1&lt;=教室申込!$K$5,教室申込!$K$7=0,COUNTA(教室申込!$C$4)=1),INDEX(展開用!$C$2:$C$601,MATCH(ROW()-1,展開用!$E$2:$E$601,0)),"")</f>
        <v/>
      </c>
      <c r="I315" s="11" t="str">
        <f>IF(AND(ROW()-1&lt;=教室申込!$K$5,教室申込!$K$7=0,COUNTA(教室申込!$C$4)=1),INDEX(展開用!$D$2:$D$601,MATCH(ROW()-1,展開用!$E$2:$E$601,0)),"")</f>
        <v/>
      </c>
      <c r="J315" s="11"/>
      <c r="K315" s="11"/>
      <c r="L315" s="11" t="str">
        <f>IF(AND(ROW()-1&lt;=教室申込!$K$5,教室申込!$K$7=0,COUNTA(教室申込!$C$4)=1),INDEX(教室申込!$B$1:$B$212,$AW315),"")</f>
        <v/>
      </c>
      <c r="M315" s="11" t="str">
        <f>IF(AND(ROW()-1&lt;=教室申込!$K$5,教室申込!$K$7=0,COUNTA(教室申込!$C$4)=1),INDEX(教室申込!$C$1:$C$212,$AW315),"")</f>
        <v/>
      </c>
      <c r="N315" s="11"/>
      <c r="O315" s="12" t="str">
        <f>IF(AND(ROW()-1&lt;=教室申込!$K$5,教室申込!$K$7=0,COUNTA(教室申込!$C$4)=1),INDEX(展開用!$G$2:$G$601,MATCH(ROW()-1,展開用!$E$2:$E$601,0)),"")</f>
        <v/>
      </c>
      <c r="P315" s="11"/>
      <c r="Q315" s="11"/>
      <c r="R315" s="11"/>
      <c r="S315" s="11"/>
      <c r="T315" s="11"/>
      <c r="U315" s="11" t="str">
        <f>IF(AND(ROW()-1&lt;=教室申込!$K$5,教室申込!$K$7=0,COUNTA(教室申込!$C$4)=1),INDEX(展開用!$F$2:$F$601,MATCH(ROW()-1,展開用!$E$2:$E$601,0)),"")</f>
        <v/>
      </c>
      <c r="V315" s="11"/>
      <c r="W315" s="11"/>
      <c r="X315" s="11"/>
      <c r="Y315" s="11"/>
      <c r="Z315" s="11"/>
      <c r="AA315" s="11" t="str">
        <f>IF($AW315="","",IF(INDEX(教室申込!$J$1:$J$212,$AW315)="","",INDEX(教室申込!$J$1:$J$212,$AW315)))</f>
        <v/>
      </c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" t="str">
        <f>IF(AND(ROW()-1&lt;=教室申込!$K$5,教室申込!$K$7=0,COUNTA(教室申込!$C$4)=1),INDEX(展開用!$B$2:$B$601,MATCH(ROW()-1,展開用!$E$2:$E$601,0)),"")</f>
        <v/>
      </c>
      <c r="AX315" s="1"/>
      <c r="AY315" s="1"/>
    </row>
    <row r="316" spans="1:51" ht="24" customHeight="1">
      <c r="A316" s="11"/>
      <c r="B316" s="11"/>
      <c r="C316" s="11"/>
      <c r="D316" s="11"/>
      <c r="E316" s="11"/>
      <c r="F316" s="11"/>
      <c r="G316" s="11"/>
      <c r="H316" s="11" t="str">
        <f>IF(AND(ROW()-1&lt;=教室申込!$K$5,教室申込!$K$7=0,COUNTA(教室申込!$C$4)=1),INDEX(展開用!$C$2:$C$601,MATCH(ROW()-1,展開用!$E$2:$E$601,0)),"")</f>
        <v/>
      </c>
      <c r="I316" s="11" t="str">
        <f>IF(AND(ROW()-1&lt;=教室申込!$K$5,教室申込!$K$7=0,COUNTA(教室申込!$C$4)=1),INDEX(展開用!$D$2:$D$601,MATCH(ROW()-1,展開用!$E$2:$E$601,0)),"")</f>
        <v/>
      </c>
      <c r="J316" s="11"/>
      <c r="K316" s="11"/>
      <c r="L316" s="11" t="str">
        <f>IF(AND(ROW()-1&lt;=教室申込!$K$5,教室申込!$K$7=0,COUNTA(教室申込!$C$4)=1),INDEX(教室申込!$B$1:$B$212,$AW316),"")</f>
        <v/>
      </c>
      <c r="M316" s="11" t="str">
        <f>IF(AND(ROW()-1&lt;=教室申込!$K$5,教室申込!$K$7=0,COUNTA(教室申込!$C$4)=1),INDEX(教室申込!$C$1:$C$212,$AW316),"")</f>
        <v/>
      </c>
      <c r="N316" s="11"/>
      <c r="O316" s="12" t="str">
        <f>IF(AND(ROW()-1&lt;=教室申込!$K$5,教室申込!$K$7=0,COUNTA(教室申込!$C$4)=1),INDEX(展開用!$G$2:$G$601,MATCH(ROW()-1,展開用!$E$2:$E$601,0)),"")</f>
        <v/>
      </c>
      <c r="P316" s="11"/>
      <c r="Q316" s="11"/>
      <c r="R316" s="11"/>
      <c r="S316" s="11"/>
      <c r="T316" s="11"/>
      <c r="U316" s="11" t="str">
        <f>IF(AND(ROW()-1&lt;=教室申込!$K$5,教室申込!$K$7=0,COUNTA(教室申込!$C$4)=1),INDEX(展開用!$F$2:$F$601,MATCH(ROW()-1,展開用!$E$2:$E$601,0)),"")</f>
        <v/>
      </c>
      <c r="V316" s="11"/>
      <c r="W316" s="11"/>
      <c r="X316" s="11"/>
      <c r="Y316" s="11"/>
      <c r="Z316" s="11"/>
      <c r="AA316" s="11" t="str">
        <f>IF($AW316="","",IF(INDEX(教室申込!$J$1:$J$212,$AW316)="","",INDEX(教室申込!$J$1:$J$212,$AW316)))</f>
        <v/>
      </c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" t="str">
        <f>IF(AND(ROW()-1&lt;=教室申込!$K$5,教室申込!$K$7=0,COUNTA(教室申込!$C$4)=1),INDEX(展開用!$B$2:$B$601,MATCH(ROW()-1,展開用!$E$2:$E$601,0)),"")</f>
        <v/>
      </c>
      <c r="AX316" s="1"/>
      <c r="AY316" s="1"/>
    </row>
    <row r="317" spans="1:51" ht="24" customHeight="1">
      <c r="A317" s="11"/>
      <c r="B317" s="11"/>
      <c r="C317" s="11"/>
      <c r="D317" s="11"/>
      <c r="E317" s="11"/>
      <c r="F317" s="11"/>
      <c r="G317" s="11"/>
      <c r="H317" s="11" t="str">
        <f>IF(AND(ROW()-1&lt;=教室申込!$K$5,教室申込!$K$7=0,COUNTA(教室申込!$C$4)=1),INDEX(展開用!$C$2:$C$601,MATCH(ROW()-1,展開用!$E$2:$E$601,0)),"")</f>
        <v/>
      </c>
      <c r="I317" s="11" t="str">
        <f>IF(AND(ROW()-1&lt;=教室申込!$K$5,教室申込!$K$7=0,COUNTA(教室申込!$C$4)=1),INDEX(展開用!$D$2:$D$601,MATCH(ROW()-1,展開用!$E$2:$E$601,0)),"")</f>
        <v/>
      </c>
      <c r="J317" s="11"/>
      <c r="K317" s="11"/>
      <c r="L317" s="11" t="str">
        <f>IF(AND(ROW()-1&lt;=教室申込!$K$5,教室申込!$K$7=0,COUNTA(教室申込!$C$4)=1),INDEX(教室申込!$B$1:$B$212,$AW317),"")</f>
        <v/>
      </c>
      <c r="M317" s="11" t="str">
        <f>IF(AND(ROW()-1&lt;=教室申込!$K$5,教室申込!$K$7=0,COUNTA(教室申込!$C$4)=1),INDEX(教室申込!$C$1:$C$212,$AW317),"")</f>
        <v/>
      </c>
      <c r="N317" s="11"/>
      <c r="O317" s="12" t="str">
        <f>IF(AND(ROW()-1&lt;=教室申込!$K$5,教室申込!$K$7=0,COUNTA(教室申込!$C$4)=1),INDEX(展開用!$G$2:$G$601,MATCH(ROW()-1,展開用!$E$2:$E$601,0)),"")</f>
        <v/>
      </c>
      <c r="P317" s="11"/>
      <c r="Q317" s="11"/>
      <c r="R317" s="11"/>
      <c r="S317" s="11"/>
      <c r="T317" s="11"/>
      <c r="U317" s="11" t="str">
        <f>IF(AND(ROW()-1&lt;=教室申込!$K$5,教室申込!$K$7=0,COUNTA(教室申込!$C$4)=1),INDEX(展開用!$F$2:$F$601,MATCH(ROW()-1,展開用!$E$2:$E$601,0)),"")</f>
        <v/>
      </c>
      <c r="V317" s="11"/>
      <c r="W317" s="11"/>
      <c r="X317" s="11"/>
      <c r="Y317" s="11"/>
      <c r="Z317" s="11"/>
      <c r="AA317" s="11" t="str">
        <f>IF($AW317="","",IF(INDEX(教室申込!$J$1:$J$212,$AW317)="","",INDEX(教室申込!$J$1:$J$212,$AW317)))</f>
        <v/>
      </c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" t="str">
        <f>IF(AND(ROW()-1&lt;=教室申込!$K$5,教室申込!$K$7=0,COUNTA(教室申込!$C$4)=1),INDEX(展開用!$B$2:$B$601,MATCH(ROW()-1,展開用!$E$2:$E$601,0)),"")</f>
        <v/>
      </c>
      <c r="AX317" s="1"/>
      <c r="AY317" s="1"/>
    </row>
    <row r="318" spans="1:51" ht="24" customHeight="1">
      <c r="A318" s="11"/>
      <c r="B318" s="11"/>
      <c r="C318" s="11"/>
      <c r="D318" s="11"/>
      <c r="E318" s="11"/>
      <c r="F318" s="11"/>
      <c r="G318" s="11"/>
      <c r="H318" s="11" t="str">
        <f>IF(AND(ROW()-1&lt;=教室申込!$K$5,教室申込!$K$7=0,COUNTA(教室申込!$C$4)=1),INDEX(展開用!$C$2:$C$601,MATCH(ROW()-1,展開用!$E$2:$E$601,0)),"")</f>
        <v/>
      </c>
      <c r="I318" s="11" t="str">
        <f>IF(AND(ROW()-1&lt;=教室申込!$K$5,教室申込!$K$7=0,COUNTA(教室申込!$C$4)=1),INDEX(展開用!$D$2:$D$601,MATCH(ROW()-1,展開用!$E$2:$E$601,0)),"")</f>
        <v/>
      </c>
      <c r="J318" s="11"/>
      <c r="K318" s="11"/>
      <c r="L318" s="11" t="str">
        <f>IF(AND(ROW()-1&lt;=教室申込!$K$5,教室申込!$K$7=0,COUNTA(教室申込!$C$4)=1),INDEX(教室申込!$B$1:$B$212,$AW318),"")</f>
        <v/>
      </c>
      <c r="M318" s="11" t="str">
        <f>IF(AND(ROW()-1&lt;=教室申込!$K$5,教室申込!$K$7=0,COUNTA(教室申込!$C$4)=1),INDEX(教室申込!$C$1:$C$212,$AW318),"")</f>
        <v/>
      </c>
      <c r="N318" s="11"/>
      <c r="O318" s="12" t="str">
        <f>IF(AND(ROW()-1&lt;=教室申込!$K$5,教室申込!$K$7=0,COUNTA(教室申込!$C$4)=1),INDEX(展開用!$G$2:$G$601,MATCH(ROW()-1,展開用!$E$2:$E$601,0)),"")</f>
        <v/>
      </c>
      <c r="P318" s="11"/>
      <c r="Q318" s="11"/>
      <c r="R318" s="11"/>
      <c r="S318" s="11"/>
      <c r="T318" s="11"/>
      <c r="U318" s="11" t="str">
        <f>IF(AND(ROW()-1&lt;=教室申込!$K$5,教室申込!$K$7=0,COUNTA(教室申込!$C$4)=1),INDEX(展開用!$F$2:$F$601,MATCH(ROW()-1,展開用!$E$2:$E$601,0)),"")</f>
        <v/>
      </c>
      <c r="V318" s="11"/>
      <c r="W318" s="11"/>
      <c r="X318" s="11"/>
      <c r="Y318" s="11"/>
      <c r="Z318" s="11"/>
      <c r="AA318" s="11" t="str">
        <f>IF($AW318="","",IF(INDEX(教室申込!$J$1:$J$212,$AW318)="","",INDEX(教室申込!$J$1:$J$212,$AW318)))</f>
        <v/>
      </c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" t="str">
        <f>IF(AND(ROW()-1&lt;=教室申込!$K$5,教室申込!$K$7=0,COUNTA(教室申込!$C$4)=1),INDEX(展開用!$B$2:$B$601,MATCH(ROW()-1,展開用!$E$2:$E$601,0)),"")</f>
        <v/>
      </c>
      <c r="AX318" s="1"/>
      <c r="AY318" s="1"/>
    </row>
    <row r="319" spans="1:51" ht="24" customHeight="1">
      <c r="A319" s="11"/>
      <c r="B319" s="11"/>
      <c r="C319" s="11"/>
      <c r="D319" s="11"/>
      <c r="E319" s="11"/>
      <c r="F319" s="11"/>
      <c r="G319" s="11"/>
      <c r="H319" s="11" t="str">
        <f>IF(AND(ROW()-1&lt;=教室申込!$K$5,教室申込!$K$7=0,COUNTA(教室申込!$C$4)=1),INDEX(展開用!$C$2:$C$601,MATCH(ROW()-1,展開用!$E$2:$E$601,0)),"")</f>
        <v/>
      </c>
      <c r="I319" s="11" t="str">
        <f>IF(AND(ROW()-1&lt;=教室申込!$K$5,教室申込!$K$7=0,COUNTA(教室申込!$C$4)=1),INDEX(展開用!$D$2:$D$601,MATCH(ROW()-1,展開用!$E$2:$E$601,0)),"")</f>
        <v/>
      </c>
      <c r="J319" s="11"/>
      <c r="K319" s="11"/>
      <c r="L319" s="11" t="str">
        <f>IF(AND(ROW()-1&lt;=教室申込!$K$5,教室申込!$K$7=0,COUNTA(教室申込!$C$4)=1),INDEX(教室申込!$B$1:$B$212,$AW319),"")</f>
        <v/>
      </c>
      <c r="M319" s="11" t="str">
        <f>IF(AND(ROW()-1&lt;=教室申込!$K$5,教室申込!$K$7=0,COUNTA(教室申込!$C$4)=1),INDEX(教室申込!$C$1:$C$212,$AW319),"")</f>
        <v/>
      </c>
      <c r="N319" s="11"/>
      <c r="O319" s="12" t="str">
        <f>IF(AND(ROW()-1&lt;=教室申込!$K$5,教室申込!$K$7=0,COUNTA(教室申込!$C$4)=1),INDEX(展開用!$G$2:$G$601,MATCH(ROW()-1,展開用!$E$2:$E$601,0)),"")</f>
        <v/>
      </c>
      <c r="P319" s="11"/>
      <c r="Q319" s="11"/>
      <c r="R319" s="11"/>
      <c r="S319" s="11"/>
      <c r="T319" s="11"/>
      <c r="U319" s="11" t="str">
        <f>IF(AND(ROW()-1&lt;=教室申込!$K$5,教室申込!$K$7=0,COUNTA(教室申込!$C$4)=1),INDEX(展開用!$F$2:$F$601,MATCH(ROW()-1,展開用!$E$2:$E$601,0)),"")</f>
        <v/>
      </c>
      <c r="V319" s="11"/>
      <c r="W319" s="11"/>
      <c r="X319" s="11"/>
      <c r="Y319" s="11"/>
      <c r="Z319" s="11"/>
      <c r="AA319" s="11" t="str">
        <f>IF($AW319="","",IF(INDEX(教室申込!$J$1:$J$212,$AW319)="","",INDEX(教室申込!$J$1:$J$212,$AW319)))</f>
        <v/>
      </c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" t="str">
        <f>IF(AND(ROW()-1&lt;=教室申込!$K$5,教室申込!$K$7=0,COUNTA(教室申込!$C$4)=1),INDEX(展開用!$B$2:$B$601,MATCH(ROW()-1,展開用!$E$2:$E$601,0)),"")</f>
        <v/>
      </c>
      <c r="AX319" s="1"/>
      <c r="AY319" s="1"/>
    </row>
    <row r="320" spans="1:51" ht="24" customHeight="1">
      <c r="A320" s="11"/>
      <c r="B320" s="11"/>
      <c r="C320" s="11"/>
      <c r="D320" s="11"/>
      <c r="E320" s="11"/>
      <c r="F320" s="11"/>
      <c r="G320" s="11"/>
      <c r="H320" s="11" t="str">
        <f>IF(AND(ROW()-1&lt;=教室申込!$K$5,教室申込!$K$7=0,COUNTA(教室申込!$C$4)=1),INDEX(展開用!$C$2:$C$601,MATCH(ROW()-1,展開用!$E$2:$E$601,0)),"")</f>
        <v/>
      </c>
      <c r="I320" s="11" t="str">
        <f>IF(AND(ROW()-1&lt;=教室申込!$K$5,教室申込!$K$7=0,COUNTA(教室申込!$C$4)=1),INDEX(展開用!$D$2:$D$601,MATCH(ROW()-1,展開用!$E$2:$E$601,0)),"")</f>
        <v/>
      </c>
      <c r="J320" s="11"/>
      <c r="K320" s="11"/>
      <c r="L320" s="11" t="str">
        <f>IF(AND(ROW()-1&lt;=教室申込!$K$5,教室申込!$K$7=0,COUNTA(教室申込!$C$4)=1),INDEX(教室申込!$B$1:$B$212,$AW320),"")</f>
        <v/>
      </c>
      <c r="M320" s="11" t="str">
        <f>IF(AND(ROW()-1&lt;=教室申込!$K$5,教室申込!$K$7=0,COUNTA(教室申込!$C$4)=1),INDEX(教室申込!$C$1:$C$212,$AW320),"")</f>
        <v/>
      </c>
      <c r="N320" s="11"/>
      <c r="O320" s="12" t="str">
        <f>IF(AND(ROW()-1&lt;=教室申込!$K$5,教室申込!$K$7=0,COUNTA(教室申込!$C$4)=1),INDEX(展開用!$G$2:$G$601,MATCH(ROW()-1,展開用!$E$2:$E$601,0)),"")</f>
        <v/>
      </c>
      <c r="P320" s="11"/>
      <c r="Q320" s="11"/>
      <c r="R320" s="11"/>
      <c r="S320" s="11"/>
      <c r="T320" s="11"/>
      <c r="U320" s="11" t="str">
        <f>IF(AND(ROW()-1&lt;=教室申込!$K$5,教室申込!$K$7=0,COUNTA(教室申込!$C$4)=1),INDEX(展開用!$F$2:$F$601,MATCH(ROW()-1,展開用!$E$2:$E$601,0)),"")</f>
        <v/>
      </c>
      <c r="V320" s="11"/>
      <c r="W320" s="11"/>
      <c r="X320" s="11"/>
      <c r="Y320" s="11"/>
      <c r="Z320" s="11"/>
      <c r="AA320" s="11" t="str">
        <f>IF($AW320="","",IF(INDEX(教室申込!$J$1:$J$212,$AW320)="","",INDEX(教室申込!$J$1:$J$212,$AW320)))</f>
        <v/>
      </c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" t="str">
        <f>IF(AND(ROW()-1&lt;=教室申込!$K$5,教室申込!$K$7=0,COUNTA(教室申込!$C$4)=1),INDEX(展開用!$B$2:$B$601,MATCH(ROW()-1,展開用!$E$2:$E$601,0)),"")</f>
        <v/>
      </c>
      <c r="AX320" s="1"/>
      <c r="AY320" s="1"/>
    </row>
    <row r="321" spans="1:51" ht="24" customHeight="1">
      <c r="A321" s="11"/>
      <c r="B321" s="11"/>
      <c r="C321" s="11"/>
      <c r="D321" s="11"/>
      <c r="E321" s="11"/>
      <c r="F321" s="11"/>
      <c r="G321" s="11"/>
      <c r="H321" s="11" t="str">
        <f>IF(AND(ROW()-1&lt;=教室申込!$K$5,教室申込!$K$7=0,COUNTA(教室申込!$C$4)=1),INDEX(展開用!$C$2:$C$601,MATCH(ROW()-1,展開用!$E$2:$E$601,0)),"")</f>
        <v/>
      </c>
      <c r="I321" s="11" t="str">
        <f>IF(AND(ROW()-1&lt;=教室申込!$K$5,教室申込!$K$7=0,COUNTA(教室申込!$C$4)=1),INDEX(展開用!$D$2:$D$601,MATCH(ROW()-1,展開用!$E$2:$E$601,0)),"")</f>
        <v/>
      </c>
      <c r="J321" s="11"/>
      <c r="K321" s="11"/>
      <c r="L321" s="11" t="str">
        <f>IF(AND(ROW()-1&lt;=教室申込!$K$5,教室申込!$K$7=0,COUNTA(教室申込!$C$4)=1),INDEX(教室申込!$B$1:$B$212,$AW321),"")</f>
        <v/>
      </c>
      <c r="M321" s="11" t="str">
        <f>IF(AND(ROW()-1&lt;=教室申込!$K$5,教室申込!$K$7=0,COUNTA(教室申込!$C$4)=1),INDEX(教室申込!$C$1:$C$212,$AW321),"")</f>
        <v/>
      </c>
      <c r="N321" s="11"/>
      <c r="O321" s="12" t="str">
        <f>IF(AND(ROW()-1&lt;=教室申込!$K$5,教室申込!$K$7=0,COUNTA(教室申込!$C$4)=1),INDEX(展開用!$G$2:$G$601,MATCH(ROW()-1,展開用!$E$2:$E$601,0)),"")</f>
        <v/>
      </c>
      <c r="P321" s="11"/>
      <c r="Q321" s="11"/>
      <c r="R321" s="11"/>
      <c r="S321" s="11"/>
      <c r="T321" s="11"/>
      <c r="U321" s="11" t="str">
        <f>IF(AND(ROW()-1&lt;=教室申込!$K$5,教室申込!$K$7=0,COUNTA(教室申込!$C$4)=1),INDEX(展開用!$F$2:$F$601,MATCH(ROW()-1,展開用!$E$2:$E$601,0)),"")</f>
        <v/>
      </c>
      <c r="V321" s="11"/>
      <c r="W321" s="11"/>
      <c r="X321" s="11"/>
      <c r="Y321" s="11"/>
      <c r="Z321" s="11"/>
      <c r="AA321" s="11" t="str">
        <f>IF($AW321="","",IF(INDEX(教室申込!$J$1:$J$212,$AW321)="","",INDEX(教室申込!$J$1:$J$212,$AW321)))</f>
        <v/>
      </c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" t="str">
        <f>IF(AND(ROW()-1&lt;=教室申込!$K$5,教室申込!$K$7=0,COUNTA(教室申込!$C$4)=1),INDEX(展開用!$B$2:$B$601,MATCH(ROW()-1,展開用!$E$2:$E$601,0)),"")</f>
        <v/>
      </c>
      <c r="AX321" s="1"/>
      <c r="AY321" s="1"/>
    </row>
    <row r="322" spans="1:51" ht="24" customHeight="1">
      <c r="A322" s="11"/>
      <c r="B322" s="11"/>
      <c r="C322" s="11"/>
      <c r="D322" s="11"/>
      <c r="E322" s="11"/>
      <c r="F322" s="11"/>
      <c r="G322" s="11"/>
      <c r="H322" s="11" t="str">
        <f>IF(AND(ROW()-1&lt;=教室申込!$K$5,教室申込!$K$7=0,COUNTA(教室申込!$C$4)=1),INDEX(展開用!$C$2:$C$601,MATCH(ROW()-1,展開用!$E$2:$E$601,0)),"")</f>
        <v/>
      </c>
      <c r="I322" s="11" t="str">
        <f>IF(AND(ROW()-1&lt;=教室申込!$K$5,教室申込!$K$7=0,COUNTA(教室申込!$C$4)=1),INDEX(展開用!$D$2:$D$601,MATCH(ROW()-1,展開用!$E$2:$E$601,0)),"")</f>
        <v/>
      </c>
      <c r="J322" s="11"/>
      <c r="K322" s="11"/>
      <c r="L322" s="11" t="str">
        <f>IF(AND(ROW()-1&lt;=教室申込!$K$5,教室申込!$K$7=0,COUNTA(教室申込!$C$4)=1),INDEX(教室申込!$B$1:$B$212,$AW322),"")</f>
        <v/>
      </c>
      <c r="M322" s="11" t="str">
        <f>IF(AND(ROW()-1&lt;=教室申込!$K$5,教室申込!$K$7=0,COUNTA(教室申込!$C$4)=1),INDEX(教室申込!$C$1:$C$212,$AW322),"")</f>
        <v/>
      </c>
      <c r="N322" s="11"/>
      <c r="O322" s="12" t="str">
        <f>IF(AND(ROW()-1&lt;=教室申込!$K$5,教室申込!$K$7=0,COUNTA(教室申込!$C$4)=1),INDEX(展開用!$G$2:$G$601,MATCH(ROW()-1,展開用!$E$2:$E$601,0)),"")</f>
        <v/>
      </c>
      <c r="P322" s="11"/>
      <c r="Q322" s="11"/>
      <c r="R322" s="11"/>
      <c r="S322" s="11"/>
      <c r="T322" s="11"/>
      <c r="U322" s="11" t="str">
        <f>IF(AND(ROW()-1&lt;=教室申込!$K$5,教室申込!$K$7=0,COUNTA(教室申込!$C$4)=1),INDEX(展開用!$F$2:$F$601,MATCH(ROW()-1,展開用!$E$2:$E$601,0)),"")</f>
        <v/>
      </c>
      <c r="V322" s="11"/>
      <c r="W322" s="11"/>
      <c r="X322" s="11"/>
      <c r="Y322" s="11"/>
      <c r="Z322" s="11"/>
      <c r="AA322" s="11" t="str">
        <f>IF($AW322="","",IF(INDEX(教室申込!$J$1:$J$212,$AW322)="","",INDEX(教室申込!$J$1:$J$212,$AW322)))</f>
        <v/>
      </c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" t="str">
        <f>IF(AND(ROW()-1&lt;=教室申込!$K$5,教室申込!$K$7=0,COUNTA(教室申込!$C$4)=1),INDEX(展開用!$B$2:$B$601,MATCH(ROW()-1,展開用!$E$2:$E$601,0)),"")</f>
        <v/>
      </c>
      <c r="AX322" s="1"/>
      <c r="AY322" s="1"/>
    </row>
    <row r="323" spans="1:51" ht="24" customHeight="1">
      <c r="A323" s="11"/>
      <c r="B323" s="11"/>
      <c r="C323" s="11"/>
      <c r="D323" s="11"/>
      <c r="E323" s="11"/>
      <c r="F323" s="11"/>
      <c r="G323" s="11"/>
      <c r="H323" s="11" t="str">
        <f>IF(AND(ROW()-1&lt;=教室申込!$K$5,教室申込!$K$7=0,COUNTA(教室申込!$C$4)=1),INDEX(展開用!$C$2:$C$601,MATCH(ROW()-1,展開用!$E$2:$E$601,0)),"")</f>
        <v/>
      </c>
      <c r="I323" s="11" t="str">
        <f>IF(AND(ROW()-1&lt;=教室申込!$K$5,教室申込!$K$7=0,COUNTA(教室申込!$C$4)=1),INDEX(展開用!$D$2:$D$601,MATCH(ROW()-1,展開用!$E$2:$E$601,0)),"")</f>
        <v/>
      </c>
      <c r="J323" s="11"/>
      <c r="K323" s="11"/>
      <c r="L323" s="11" t="str">
        <f>IF(AND(ROW()-1&lt;=教室申込!$K$5,教室申込!$K$7=0,COUNTA(教室申込!$C$4)=1),INDEX(教室申込!$B$1:$B$212,$AW323),"")</f>
        <v/>
      </c>
      <c r="M323" s="11" t="str">
        <f>IF(AND(ROW()-1&lt;=教室申込!$K$5,教室申込!$K$7=0,COUNTA(教室申込!$C$4)=1),INDEX(教室申込!$C$1:$C$212,$AW323),"")</f>
        <v/>
      </c>
      <c r="N323" s="11"/>
      <c r="O323" s="12" t="str">
        <f>IF(AND(ROW()-1&lt;=教室申込!$K$5,教室申込!$K$7=0,COUNTA(教室申込!$C$4)=1),INDEX(展開用!$G$2:$G$601,MATCH(ROW()-1,展開用!$E$2:$E$601,0)),"")</f>
        <v/>
      </c>
      <c r="P323" s="11"/>
      <c r="Q323" s="11"/>
      <c r="R323" s="11"/>
      <c r="S323" s="11"/>
      <c r="T323" s="11"/>
      <c r="U323" s="11" t="str">
        <f>IF(AND(ROW()-1&lt;=教室申込!$K$5,教室申込!$K$7=0,COUNTA(教室申込!$C$4)=1),INDEX(展開用!$F$2:$F$601,MATCH(ROW()-1,展開用!$E$2:$E$601,0)),"")</f>
        <v/>
      </c>
      <c r="V323" s="11"/>
      <c r="W323" s="11"/>
      <c r="X323" s="11"/>
      <c r="Y323" s="11"/>
      <c r="Z323" s="11"/>
      <c r="AA323" s="11" t="str">
        <f>IF($AW323="","",IF(INDEX(教室申込!$J$1:$J$212,$AW323)="","",INDEX(教室申込!$J$1:$J$212,$AW323)))</f>
        <v/>
      </c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" t="str">
        <f>IF(AND(ROW()-1&lt;=教室申込!$K$5,教室申込!$K$7=0,COUNTA(教室申込!$C$4)=1),INDEX(展開用!$B$2:$B$601,MATCH(ROW()-1,展開用!$E$2:$E$601,0)),"")</f>
        <v/>
      </c>
      <c r="AX323" s="1"/>
      <c r="AY323" s="1"/>
    </row>
    <row r="324" spans="1:51" ht="24" customHeight="1">
      <c r="A324" s="11"/>
      <c r="B324" s="11"/>
      <c r="C324" s="11"/>
      <c r="D324" s="11"/>
      <c r="E324" s="11"/>
      <c r="F324" s="11"/>
      <c r="G324" s="11"/>
      <c r="H324" s="11" t="str">
        <f>IF(AND(ROW()-1&lt;=教室申込!$K$5,教室申込!$K$7=0,COUNTA(教室申込!$C$4)=1),INDEX(展開用!$C$2:$C$601,MATCH(ROW()-1,展開用!$E$2:$E$601,0)),"")</f>
        <v/>
      </c>
      <c r="I324" s="11" t="str">
        <f>IF(AND(ROW()-1&lt;=教室申込!$K$5,教室申込!$K$7=0,COUNTA(教室申込!$C$4)=1),INDEX(展開用!$D$2:$D$601,MATCH(ROW()-1,展開用!$E$2:$E$601,0)),"")</f>
        <v/>
      </c>
      <c r="J324" s="11"/>
      <c r="K324" s="11"/>
      <c r="L324" s="11" t="str">
        <f>IF(AND(ROW()-1&lt;=教室申込!$K$5,教室申込!$K$7=0,COUNTA(教室申込!$C$4)=1),INDEX(教室申込!$B$1:$B$212,$AW324),"")</f>
        <v/>
      </c>
      <c r="M324" s="11" t="str">
        <f>IF(AND(ROW()-1&lt;=教室申込!$K$5,教室申込!$K$7=0,COUNTA(教室申込!$C$4)=1),INDEX(教室申込!$C$1:$C$212,$AW324),"")</f>
        <v/>
      </c>
      <c r="N324" s="11"/>
      <c r="O324" s="12" t="str">
        <f>IF(AND(ROW()-1&lt;=教室申込!$K$5,教室申込!$K$7=0,COUNTA(教室申込!$C$4)=1),INDEX(展開用!$G$2:$G$601,MATCH(ROW()-1,展開用!$E$2:$E$601,0)),"")</f>
        <v/>
      </c>
      <c r="P324" s="11"/>
      <c r="Q324" s="11"/>
      <c r="R324" s="11"/>
      <c r="S324" s="11"/>
      <c r="T324" s="11"/>
      <c r="U324" s="11" t="str">
        <f>IF(AND(ROW()-1&lt;=教室申込!$K$5,教室申込!$K$7=0,COUNTA(教室申込!$C$4)=1),INDEX(展開用!$F$2:$F$601,MATCH(ROW()-1,展開用!$E$2:$E$601,0)),"")</f>
        <v/>
      </c>
      <c r="V324" s="11"/>
      <c r="W324" s="11"/>
      <c r="X324" s="11"/>
      <c r="Y324" s="11"/>
      <c r="Z324" s="11"/>
      <c r="AA324" s="11" t="str">
        <f>IF($AW324="","",IF(INDEX(教室申込!$J$1:$J$212,$AW324)="","",INDEX(教室申込!$J$1:$J$212,$AW324)))</f>
        <v/>
      </c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" t="str">
        <f>IF(AND(ROW()-1&lt;=教室申込!$K$5,教室申込!$K$7=0,COUNTA(教室申込!$C$4)=1),INDEX(展開用!$B$2:$B$601,MATCH(ROW()-1,展開用!$E$2:$E$601,0)),"")</f>
        <v/>
      </c>
      <c r="AX324" s="1"/>
      <c r="AY324" s="1"/>
    </row>
    <row r="325" spans="1:51" ht="24" customHeight="1">
      <c r="A325" s="11"/>
      <c r="B325" s="11"/>
      <c r="C325" s="11"/>
      <c r="D325" s="11"/>
      <c r="E325" s="11"/>
      <c r="F325" s="11"/>
      <c r="G325" s="11"/>
      <c r="H325" s="11" t="str">
        <f>IF(AND(ROW()-1&lt;=教室申込!$K$5,教室申込!$K$7=0,COUNTA(教室申込!$C$4)=1),INDEX(展開用!$C$2:$C$601,MATCH(ROW()-1,展開用!$E$2:$E$601,0)),"")</f>
        <v/>
      </c>
      <c r="I325" s="11" t="str">
        <f>IF(AND(ROW()-1&lt;=教室申込!$K$5,教室申込!$K$7=0,COUNTA(教室申込!$C$4)=1),INDEX(展開用!$D$2:$D$601,MATCH(ROW()-1,展開用!$E$2:$E$601,0)),"")</f>
        <v/>
      </c>
      <c r="J325" s="11"/>
      <c r="K325" s="11"/>
      <c r="L325" s="11" t="str">
        <f>IF(AND(ROW()-1&lt;=教室申込!$K$5,教室申込!$K$7=0,COUNTA(教室申込!$C$4)=1),INDEX(教室申込!$B$1:$B$212,$AW325),"")</f>
        <v/>
      </c>
      <c r="M325" s="11" t="str">
        <f>IF(AND(ROW()-1&lt;=教室申込!$K$5,教室申込!$K$7=0,COUNTA(教室申込!$C$4)=1),INDEX(教室申込!$C$1:$C$212,$AW325),"")</f>
        <v/>
      </c>
      <c r="N325" s="11"/>
      <c r="O325" s="12" t="str">
        <f>IF(AND(ROW()-1&lt;=教室申込!$K$5,教室申込!$K$7=0,COUNTA(教室申込!$C$4)=1),INDEX(展開用!$G$2:$G$601,MATCH(ROW()-1,展開用!$E$2:$E$601,0)),"")</f>
        <v/>
      </c>
      <c r="P325" s="11"/>
      <c r="Q325" s="11"/>
      <c r="R325" s="11"/>
      <c r="S325" s="11"/>
      <c r="T325" s="11"/>
      <c r="U325" s="11" t="str">
        <f>IF(AND(ROW()-1&lt;=教室申込!$K$5,教室申込!$K$7=0,COUNTA(教室申込!$C$4)=1),INDEX(展開用!$F$2:$F$601,MATCH(ROW()-1,展開用!$E$2:$E$601,0)),"")</f>
        <v/>
      </c>
      <c r="V325" s="11"/>
      <c r="W325" s="11"/>
      <c r="X325" s="11"/>
      <c r="Y325" s="11"/>
      <c r="Z325" s="11"/>
      <c r="AA325" s="11" t="str">
        <f>IF($AW325="","",IF(INDEX(教室申込!$J$1:$J$212,$AW325)="","",INDEX(教室申込!$J$1:$J$212,$AW325)))</f>
        <v/>
      </c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" t="str">
        <f>IF(AND(ROW()-1&lt;=教室申込!$K$5,教室申込!$K$7=0,COUNTA(教室申込!$C$4)=1),INDEX(展開用!$B$2:$B$601,MATCH(ROW()-1,展開用!$E$2:$E$601,0)),"")</f>
        <v/>
      </c>
      <c r="AX325" s="1"/>
      <c r="AY325" s="1"/>
    </row>
    <row r="326" spans="1:51" ht="24" customHeight="1">
      <c r="A326" s="11"/>
      <c r="B326" s="11"/>
      <c r="C326" s="11"/>
      <c r="D326" s="11"/>
      <c r="E326" s="11"/>
      <c r="F326" s="11"/>
      <c r="G326" s="11"/>
      <c r="H326" s="11" t="str">
        <f>IF(AND(ROW()-1&lt;=教室申込!$K$5,教室申込!$K$7=0,COUNTA(教室申込!$C$4)=1),INDEX(展開用!$C$2:$C$601,MATCH(ROW()-1,展開用!$E$2:$E$601,0)),"")</f>
        <v/>
      </c>
      <c r="I326" s="11" t="str">
        <f>IF(AND(ROW()-1&lt;=教室申込!$K$5,教室申込!$K$7=0,COUNTA(教室申込!$C$4)=1),INDEX(展開用!$D$2:$D$601,MATCH(ROW()-1,展開用!$E$2:$E$601,0)),"")</f>
        <v/>
      </c>
      <c r="J326" s="11"/>
      <c r="K326" s="11"/>
      <c r="L326" s="11" t="str">
        <f>IF(AND(ROW()-1&lt;=教室申込!$K$5,教室申込!$K$7=0,COUNTA(教室申込!$C$4)=1),INDEX(教室申込!$B$1:$B$212,$AW326),"")</f>
        <v/>
      </c>
      <c r="M326" s="11" t="str">
        <f>IF(AND(ROW()-1&lt;=教室申込!$K$5,教室申込!$K$7=0,COUNTA(教室申込!$C$4)=1),INDEX(教室申込!$C$1:$C$212,$AW326),"")</f>
        <v/>
      </c>
      <c r="N326" s="11"/>
      <c r="O326" s="12" t="str">
        <f>IF(AND(ROW()-1&lt;=教室申込!$K$5,教室申込!$K$7=0,COUNTA(教室申込!$C$4)=1),INDEX(展開用!$G$2:$G$601,MATCH(ROW()-1,展開用!$E$2:$E$601,0)),"")</f>
        <v/>
      </c>
      <c r="P326" s="11"/>
      <c r="Q326" s="11"/>
      <c r="R326" s="11"/>
      <c r="S326" s="11"/>
      <c r="T326" s="11"/>
      <c r="U326" s="11" t="str">
        <f>IF(AND(ROW()-1&lt;=教室申込!$K$5,教室申込!$K$7=0,COUNTA(教室申込!$C$4)=1),INDEX(展開用!$F$2:$F$601,MATCH(ROW()-1,展開用!$E$2:$E$601,0)),"")</f>
        <v/>
      </c>
      <c r="V326" s="11"/>
      <c r="W326" s="11"/>
      <c r="X326" s="11"/>
      <c r="Y326" s="11"/>
      <c r="Z326" s="11"/>
      <c r="AA326" s="11" t="str">
        <f>IF($AW326="","",IF(INDEX(教室申込!$J$1:$J$212,$AW326)="","",INDEX(教室申込!$J$1:$J$212,$AW326)))</f>
        <v/>
      </c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" t="str">
        <f>IF(AND(ROW()-1&lt;=教室申込!$K$5,教室申込!$K$7=0,COUNTA(教室申込!$C$4)=1),INDEX(展開用!$B$2:$B$601,MATCH(ROW()-1,展開用!$E$2:$E$601,0)),"")</f>
        <v/>
      </c>
      <c r="AX326" s="1"/>
      <c r="AY326" s="1"/>
    </row>
    <row r="327" spans="1:51" ht="24" customHeight="1">
      <c r="A327" s="11"/>
      <c r="B327" s="11"/>
      <c r="C327" s="11"/>
      <c r="D327" s="11"/>
      <c r="E327" s="11"/>
      <c r="F327" s="11"/>
      <c r="G327" s="11"/>
      <c r="H327" s="11" t="str">
        <f>IF(AND(ROW()-1&lt;=教室申込!$K$5,教室申込!$K$7=0,COUNTA(教室申込!$C$4)=1),INDEX(展開用!$C$2:$C$601,MATCH(ROW()-1,展開用!$E$2:$E$601,0)),"")</f>
        <v/>
      </c>
      <c r="I327" s="11" t="str">
        <f>IF(AND(ROW()-1&lt;=教室申込!$K$5,教室申込!$K$7=0,COUNTA(教室申込!$C$4)=1),INDEX(展開用!$D$2:$D$601,MATCH(ROW()-1,展開用!$E$2:$E$601,0)),"")</f>
        <v/>
      </c>
      <c r="J327" s="11"/>
      <c r="K327" s="11"/>
      <c r="L327" s="11" t="str">
        <f>IF(AND(ROW()-1&lt;=教室申込!$K$5,教室申込!$K$7=0,COUNTA(教室申込!$C$4)=1),INDEX(教室申込!$B$1:$B$212,$AW327),"")</f>
        <v/>
      </c>
      <c r="M327" s="11" t="str">
        <f>IF(AND(ROW()-1&lt;=教室申込!$K$5,教室申込!$K$7=0,COUNTA(教室申込!$C$4)=1),INDEX(教室申込!$C$1:$C$212,$AW327),"")</f>
        <v/>
      </c>
      <c r="N327" s="11"/>
      <c r="O327" s="12" t="str">
        <f>IF(AND(ROW()-1&lt;=教室申込!$K$5,教室申込!$K$7=0,COUNTA(教室申込!$C$4)=1),INDEX(展開用!$G$2:$G$601,MATCH(ROW()-1,展開用!$E$2:$E$601,0)),"")</f>
        <v/>
      </c>
      <c r="P327" s="11"/>
      <c r="Q327" s="11"/>
      <c r="R327" s="11"/>
      <c r="S327" s="11"/>
      <c r="T327" s="11"/>
      <c r="U327" s="11" t="str">
        <f>IF(AND(ROW()-1&lt;=教室申込!$K$5,教室申込!$K$7=0,COUNTA(教室申込!$C$4)=1),INDEX(展開用!$F$2:$F$601,MATCH(ROW()-1,展開用!$E$2:$E$601,0)),"")</f>
        <v/>
      </c>
      <c r="V327" s="11"/>
      <c r="W327" s="11"/>
      <c r="X327" s="11"/>
      <c r="Y327" s="11"/>
      <c r="Z327" s="11"/>
      <c r="AA327" s="11" t="str">
        <f>IF($AW327="","",IF(INDEX(教室申込!$J$1:$J$212,$AW327)="","",INDEX(教室申込!$J$1:$J$212,$AW327)))</f>
        <v/>
      </c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" t="str">
        <f>IF(AND(ROW()-1&lt;=教室申込!$K$5,教室申込!$K$7=0,COUNTA(教室申込!$C$4)=1),INDEX(展開用!$B$2:$B$601,MATCH(ROW()-1,展開用!$E$2:$E$601,0)),"")</f>
        <v/>
      </c>
      <c r="AX327" s="1"/>
      <c r="AY327" s="1"/>
    </row>
    <row r="328" spans="1:51" ht="24" customHeight="1">
      <c r="A328" s="11"/>
      <c r="B328" s="11"/>
      <c r="C328" s="11"/>
      <c r="D328" s="11"/>
      <c r="E328" s="11"/>
      <c r="F328" s="11"/>
      <c r="G328" s="11"/>
      <c r="H328" s="11" t="str">
        <f>IF(AND(ROW()-1&lt;=教室申込!$K$5,教室申込!$K$7=0,COUNTA(教室申込!$C$4)=1),INDEX(展開用!$C$2:$C$601,MATCH(ROW()-1,展開用!$E$2:$E$601,0)),"")</f>
        <v/>
      </c>
      <c r="I328" s="11" t="str">
        <f>IF(AND(ROW()-1&lt;=教室申込!$K$5,教室申込!$K$7=0,COUNTA(教室申込!$C$4)=1),INDEX(展開用!$D$2:$D$601,MATCH(ROW()-1,展開用!$E$2:$E$601,0)),"")</f>
        <v/>
      </c>
      <c r="J328" s="11"/>
      <c r="K328" s="11"/>
      <c r="L328" s="11" t="str">
        <f>IF(AND(ROW()-1&lt;=教室申込!$K$5,教室申込!$K$7=0,COUNTA(教室申込!$C$4)=1),INDEX(教室申込!$B$1:$B$212,$AW328),"")</f>
        <v/>
      </c>
      <c r="M328" s="11" t="str">
        <f>IF(AND(ROW()-1&lt;=教室申込!$K$5,教室申込!$K$7=0,COUNTA(教室申込!$C$4)=1),INDEX(教室申込!$C$1:$C$212,$AW328),"")</f>
        <v/>
      </c>
      <c r="N328" s="11"/>
      <c r="O328" s="12" t="str">
        <f>IF(AND(ROW()-1&lt;=教室申込!$K$5,教室申込!$K$7=0,COUNTA(教室申込!$C$4)=1),INDEX(展開用!$G$2:$G$601,MATCH(ROW()-1,展開用!$E$2:$E$601,0)),"")</f>
        <v/>
      </c>
      <c r="P328" s="11"/>
      <c r="Q328" s="11"/>
      <c r="R328" s="11"/>
      <c r="S328" s="11"/>
      <c r="T328" s="11"/>
      <c r="U328" s="11" t="str">
        <f>IF(AND(ROW()-1&lt;=教室申込!$K$5,教室申込!$K$7=0,COUNTA(教室申込!$C$4)=1),INDEX(展開用!$F$2:$F$601,MATCH(ROW()-1,展開用!$E$2:$E$601,0)),"")</f>
        <v/>
      </c>
      <c r="V328" s="11"/>
      <c r="W328" s="11"/>
      <c r="X328" s="11"/>
      <c r="Y328" s="11"/>
      <c r="Z328" s="11"/>
      <c r="AA328" s="11" t="str">
        <f>IF($AW328="","",IF(INDEX(教室申込!$J$1:$J$212,$AW328)="","",INDEX(教室申込!$J$1:$J$212,$AW328)))</f>
        <v/>
      </c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" t="str">
        <f>IF(AND(ROW()-1&lt;=教室申込!$K$5,教室申込!$K$7=0,COUNTA(教室申込!$C$4)=1),INDEX(展開用!$B$2:$B$601,MATCH(ROW()-1,展開用!$E$2:$E$601,0)),"")</f>
        <v/>
      </c>
      <c r="AX328" s="1"/>
      <c r="AY328" s="1"/>
    </row>
    <row r="329" spans="1:51" ht="24" customHeight="1">
      <c r="A329" s="11"/>
      <c r="B329" s="11"/>
      <c r="C329" s="11"/>
      <c r="D329" s="11"/>
      <c r="E329" s="11"/>
      <c r="F329" s="11"/>
      <c r="G329" s="11"/>
      <c r="H329" s="11" t="str">
        <f>IF(AND(ROW()-1&lt;=教室申込!$K$5,教室申込!$K$7=0,COUNTA(教室申込!$C$4)=1),INDEX(展開用!$C$2:$C$601,MATCH(ROW()-1,展開用!$E$2:$E$601,0)),"")</f>
        <v/>
      </c>
      <c r="I329" s="11" t="str">
        <f>IF(AND(ROW()-1&lt;=教室申込!$K$5,教室申込!$K$7=0,COUNTA(教室申込!$C$4)=1),INDEX(展開用!$D$2:$D$601,MATCH(ROW()-1,展開用!$E$2:$E$601,0)),"")</f>
        <v/>
      </c>
      <c r="J329" s="11"/>
      <c r="K329" s="11"/>
      <c r="L329" s="11" t="str">
        <f>IF(AND(ROW()-1&lt;=教室申込!$K$5,教室申込!$K$7=0,COUNTA(教室申込!$C$4)=1),INDEX(教室申込!$B$1:$B$212,$AW329),"")</f>
        <v/>
      </c>
      <c r="M329" s="11" t="str">
        <f>IF(AND(ROW()-1&lt;=教室申込!$K$5,教室申込!$K$7=0,COUNTA(教室申込!$C$4)=1),INDEX(教室申込!$C$1:$C$212,$AW329),"")</f>
        <v/>
      </c>
      <c r="N329" s="11"/>
      <c r="O329" s="12" t="str">
        <f>IF(AND(ROW()-1&lt;=教室申込!$K$5,教室申込!$K$7=0,COUNTA(教室申込!$C$4)=1),INDEX(展開用!$G$2:$G$601,MATCH(ROW()-1,展開用!$E$2:$E$601,0)),"")</f>
        <v/>
      </c>
      <c r="P329" s="11"/>
      <c r="Q329" s="11"/>
      <c r="R329" s="11"/>
      <c r="S329" s="11"/>
      <c r="T329" s="11"/>
      <c r="U329" s="11" t="str">
        <f>IF(AND(ROW()-1&lt;=教室申込!$K$5,教室申込!$K$7=0,COUNTA(教室申込!$C$4)=1),INDEX(展開用!$F$2:$F$601,MATCH(ROW()-1,展開用!$E$2:$E$601,0)),"")</f>
        <v/>
      </c>
      <c r="V329" s="11"/>
      <c r="W329" s="11"/>
      <c r="X329" s="11"/>
      <c r="Y329" s="11"/>
      <c r="Z329" s="11"/>
      <c r="AA329" s="11" t="str">
        <f>IF($AW329="","",IF(INDEX(教室申込!$J$1:$J$212,$AW329)="","",INDEX(教室申込!$J$1:$J$212,$AW329)))</f>
        <v/>
      </c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" t="str">
        <f>IF(AND(ROW()-1&lt;=教室申込!$K$5,教室申込!$K$7=0,COUNTA(教室申込!$C$4)=1),INDEX(展開用!$B$2:$B$601,MATCH(ROW()-1,展開用!$E$2:$E$601,0)),"")</f>
        <v/>
      </c>
      <c r="AX329" s="1"/>
      <c r="AY329" s="1"/>
    </row>
    <row r="330" spans="1:51" ht="24" customHeight="1">
      <c r="A330" s="11"/>
      <c r="B330" s="11"/>
      <c r="C330" s="11"/>
      <c r="D330" s="11"/>
      <c r="E330" s="11"/>
      <c r="F330" s="11"/>
      <c r="G330" s="11"/>
      <c r="H330" s="11" t="str">
        <f>IF(AND(ROW()-1&lt;=教室申込!$K$5,教室申込!$K$7=0,COUNTA(教室申込!$C$4)=1),INDEX(展開用!$C$2:$C$601,MATCH(ROW()-1,展開用!$E$2:$E$601,0)),"")</f>
        <v/>
      </c>
      <c r="I330" s="11" t="str">
        <f>IF(AND(ROW()-1&lt;=教室申込!$K$5,教室申込!$K$7=0,COUNTA(教室申込!$C$4)=1),INDEX(展開用!$D$2:$D$601,MATCH(ROW()-1,展開用!$E$2:$E$601,0)),"")</f>
        <v/>
      </c>
      <c r="J330" s="11"/>
      <c r="K330" s="11"/>
      <c r="L330" s="11" t="str">
        <f>IF(AND(ROW()-1&lt;=教室申込!$K$5,教室申込!$K$7=0,COUNTA(教室申込!$C$4)=1),INDEX(教室申込!$B$1:$B$212,$AW330),"")</f>
        <v/>
      </c>
      <c r="M330" s="11" t="str">
        <f>IF(AND(ROW()-1&lt;=教室申込!$K$5,教室申込!$K$7=0,COUNTA(教室申込!$C$4)=1),INDEX(教室申込!$C$1:$C$212,$AW330),"")</f>
        <v/>
      </c>
      <c r="N330" s="11"/>
      <c r="O330" s="12" t="str">
        <f>IF(AND(ROW()-1&lt;=教室申込!$K$5,教室申込!$K$7=0,COUNTA(教室申込!$C$4)=1),INDEX(展開用!$G$2:$G$601,MATCH(ROW()-1,展開用!$E$2:$E$601,0)),"")</f>
        <v/>
      </c>
      <c r="P330" s="11"/>
      <c r="Q330" s="11"/>
      <c r="R330" s="11"/>
      <c r="S330" s="11"/>
      <c r="T330" s="11"/>
      <c r="U330" s="11" t="str">
        <f>IF(AND(ROW()-1&lt;=教室申込!$K$5,教室申込!$K$7=0,COUNTA(教室申込!$C$4)=1),INDEX(展開用!$F$2:$F$601,MATCH(ROW()-1,展開用!$E$2:$E$601,0)),"")</f>
        <v/>
      </c>
      <c r="V330" s="11"/>
      <c r="W330" s="11"/>
      <c r="X330" s="11"/>
      <c r="Y330" s="11"/>
      <c r="Z330" s="11"/>
      <c r="AA330" s="11" t="str">
        <f>IF($AW330="","",IF(INDEX(教室申込!$J$1:$J$212,$AW330)="","",INDEX(教室申込!$J$1:$J$212,$AW330)))</f>
        <v/>
      </c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" t="str">
        <f>IF(AND(ROW()-1&lt;=教室申込!$K$5,教室申込!$K$7=0,COUNTA(教室申込!$C$4)=1),INDEX(展開用!$B$2:$B$601,MATCH(ROW()-1,展開用!$E$2:$E$601,0)),"")</f>
        <v/>
      </c>
      <c r="AX330" s="1"/>
      <c r="AY330" s="1"/>
    </row>
    <row r="331" spans="1:51" ht="24" customHeight="1">
      <c r="A331" s="11"/>
      <c r="B331" s="11"/>
      <c r="C331" s="11"/>
      <c r="D331" s="11"/>
      <c r="E331" s="11"/>
      <c r="F331" s="11"/>
      <c r="G331" s="11"/>
      <c r="H331" s="11" t="str">
        <f>IF(AND(ROW()-1&lt;=教室申込!$K$5,教室申込!$K$7=0,COUNTA(教室申込!$C$4)=1),INDEX(展開用!$C$2:$C$601,MATCH(ROW()-1,展開用!$E$2:$E$601,0)),"")</f>
        <v/>
      </c>
      <c r="I331" s="11" t="str">
        <f>IF(AND(ROW()-1&lt;=教室申込!$K$5,教室申込!$K$7=0,COUNTA(教室申込!$C$4)=1),INDEX(展開用!$D$2:$D$601,MATCH(ROW()-1,展開用!$E$2:$E$601,0)),"")</f>
        <v/>
      </c>
      <c r="J331" s="11"/>
      <c r="K331" s="11"/>
      <c r="L331" s="11" t="str">
        <f>IF(AND(ROW()-1&lt;=教室申込!$K$5,教室申込!$K$7=0,COUNTA(教室申込!$C$4)=1),INDEX(教室申込!$B$1:$B$212,$AW331),"")</f>
        <v/>
      </c>
      <c r="M331" s="11" t="str">
        <f>IF(AND(ROW()-1&lt;=教室申込!$K$5,教室申込!$K$7=0,COUNTA(教室申込!$C$4)=1),INDEX(教室申込!$C$1:$C$212,$AW331),"")</f>
        <v/>
      </c>
      <c r="N331" s="11"/>
      <c r="O331" s="12" t="str">
        <f>IF(AND(ROW()-1&lt;=教室申込!$K$5,教室申込!$K$7=0,COUNTA(教室申込!$C$4)=1),INDEX(展開用!$G$2:$G$601,MATCH(ROW()-1,展開用!$E$2:$E$601,0)),"")</f>
        <v/>
      </c>
      <c r="P331" s="11"/>
      <c r="Q331" s="11"/>
      <c r="R331" s="11"/>
      <c r="S331" s="11"/>
      <c r="T331" s="11"/>
      <c r="U331" s="11" t="str">
        <f>IF(AND(ROW()-1&lt;=教室申込!$K$5,教室申込!$K$7=0,COUNTA(教室申込!$C$4)=1),INDEX(展開用!$F$2:$F$601,MATCH(ROW()-1,展開用!$E$2:$E$601,0)),"")</f>
        <v/>
      </c>
      <c r="V331" s="11"/>
      <c r="W331" s="11"/>
      <c r="X331" s="11"/>
      <c r="Y331" s="11"/>
      <c r="Z331" s="11"/>
      <c r="AA331" s="11" t="str">
        <f>IF($AW331="","",IF(INDEX(教室申込!$J$1:$J$212,$AW331)="","",INDEX(教室申込!$J$1:$J$212,$AW331)))</f>
        <v/>
      </c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" t="str">
        <f>IF(AND(ROW()-1&lt;=教室申込!$K$5,教室申込!$K$7=0,COUNTA(教室申込!$C$4)=1),INDEX(展開用!$B$2:$B$601,MATCH(ROW()-1,展開用!$E$2:$E$601,0)),"")</f>
        <v/>
      </c>
      <c r="AX331" s="1"/>
      <c r="AY331" s="1"/>
    </row>
    <row r="332" spans="1:51" ht="24" customHeight="1">
      <c r="A332" s="11"/>
      <c r="B332" s="11"/>
      <c r="C332" s="11"/>
      <c r="D332" s="11"/>
      <c r="E332" s="11"/>
      <c r="F332" s="11"/>
      <c r="G332" s="11"/>
      <c r="H332" s="11" t="str">
        <f>IF(AND(ROW()-1&lt;=教室申込!$K$5,教室申込!$K$7=0,COUNTA(教室申込!$C$4)=1),INDEX(展開用!$C$2:$C$601,MATCH(ROW()-1,展開用!$E$2:$E$601,0)),"")</f>
        <v/>
      </c>
      <c r="I332" s="11" t="str">
        <f>IF(AND(ROW()-1&lt;=教室申込!$K$5,教室申込!$K$7=0,COUNTA(教室申込!$C$4)=1),INDEX(展開用!$D$2:$D$601,MATCH(ROW()-1,展開用!$E$2:$E$601,0)),"")</f>
        <v/>
      </c>
      <c r="J332" s="11"/>
      <c r="K332" s="11"/>
      <c r="L332" s="11" t="str">
        <f>IF(AND(ROW()-1&lt;=教室申込!$K$5,教室申込!$K$7=0,COUNTA(教室申込!$C$4)=1),INDEX(教室申込!$B$1:$B$212,$AW332),"")</f>
        <v/>
      </c>
      <c r="M332" s="11" t="str">
        <f>IF(AND(ROW()-1&lt;=教室申込!$K$5,教室申込!$K$7=0,COUNTA(教室申込!$C$4)=1),INDEX(教室申込!$C$1:$C$212,$AW332),"")</f>
        <v/>
      </c>
      <c r="N332" s="11"/>
      <c r="O332" s="12" t="str">
        <f>IF(AND(ROW()-1&lt;=教室申込!$K$5,教室申込!$K$7=0,COUNTA(教室申込!$C$4)=1),INDEX(展開用!$G$2:$G$601,MATCH(ROW()-1,展開用!$E$2:$E$601,0)),"")</f>
        <v/>
      </c>
      <c r="P332" s="11"/>
      <c r="Q332" s="11"/>
      <c r="R332" s="11"/>
      <c r="S332" s="11"/>
      <c r="T332" s="11"/>
      <c r="U332" s="11" t="str">
        <f>IF(AND(ROW()-1&lt;=教室申込!$K$5,教室申込!$K$7=0,COUNTA(教室申込!$C$4)=1),INDEX(展開用!$F$2:$F$601,MATCH(ROW()-1,展開用!$E$2:$E$601,0)),"")</f>
        <v/>
      </c>
      <c r="V332" s="11"/>
      <c r="W332" s="11"/>
      <c r="X332" s="11"/>
      <c r="Y332" s="11"/>
      <c r="Z332" s="11"/>
      <c r="AA332" s="11" t="str">
        <f>IF($AW332="","",IF(INDEX(教室申込!$J$1:$J$212,$AW332)="","",INDEX(教室申込!$J$1:$J$212,$AW332)))</f>
        <v/>
      </c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" t="str">
        <f>IF(AND(ROW()-1&lt;=教室申込!$K$5,教室申込!$K$7=0,COUNTA(教室申込!$C$4)=1),INDEX(展開用!$B$2:$B$601,MATCH(ROW()-1,展開用!$E$2:$E$601,0)),"")</f>
        <v/>
      </c>
      <c r="AX332" s="1"/>
      <c r="AY332" s="1"/>
    </row>
    <row r="333" spans="1:51" ht="24" customHeight="1">
      <c r="A333" s="11"/>
      <c r="B333" s="11"/>
      <c r="C333" s="11"/>
      <c r="D333" s="11"/>
      <c r="E333" s="11"/>
      <c r="F333" s="11"/>
      <c r="G333" s="11"/>
      <c r="H333" s="11" t="str">
        <f>IF(AND(ROW()-1&lt;=教室申込!$K$5,教室申込!$K$7=0,COUNTA(教室申込!$C$4)=1),INDEX(展開用!$C$2:$C$601,MATCH(ROW()-1,展開用!$E$2:$E$601,0)),"")</f>
        <v/>
      </c>
      <c r="I333" s="11" t="str">
        <f>IF(AND(ROW()-1&lt;=教室申込!$K$5,教室申込!$K$7=0,COUNTA(教室申込!$C$4)=1),INDEX(展開用!$D$2:$D$601,MATCH(ROW()-1,展開用!$E$2:$E$601,0)),"")</f>
        <v/>
      </c>
      <c r="J333" s="11"/>
      <c r="K333" s="11"/>
      <c r="L333" s="11" t="str">
        <f>IF(AND(ROW()-1&lt;=教室申込!$K$5,教室申込!$K$7=0,COUNTA(教室申込!$C$4)=1),INDEX(教室申込!$B$1:$B$212,$AW333),"")</f>
        <v/>
      </c>
      <c r="M333" s="11" t="str">
        <f>IF(AND(ROW()-1&lt;=教室申込!$K$5,教室申込!$K$7=0,COUNTA(教室申込!$C$4)=1),INDEX(教室申込!$C$1:$C$212,$AW333),"")</f>
        <v/>
      </c>
      <c r="N333" s="11"/>
      <c r="O333" s="12" t="str">
        <f>IF(AND(ROW()-1&lt;=教室申込!$K$5,教室申込!$K$7=0,COUNTA(教室申込!$C$4)=1),INDEX(展開用!$G$2:$G$601,MATCH(ROW()-1,展開用!$E$2:$E$601,0)),"")</f>
        <v/>
      </c>
      <c r="P333" s="11"/>
      <c r="Q333" s="11"/>
      <c r="R333" s="11"/>
      <c r="S333" s="11"/>
      <c r="T333" s="11"/>
      <c r="U333" s="11" t="str">
        <f>IF(AND(ROW()-1&lt;=教室申込!$K$5,教室申込!$K$7=0,COUNTA(教室申込!$C$4)=1),INDEX(展開用!$F$2:$F$601,MATCH(ROW()-1,展開用!$E$2:$E$601,0)),"")</f>
        <v/>
      </c>
      <c r="V333" s="11"/>
      <c r="W333" s="11"/>
      <c r="X333" s="11"/>
      <c r="Y333" s="11"/>
      <c r="Z333" s="11"/>
      <c r="AA333" s="11" t="str">
        <f>IF($AW333="","",IF(INDEX(教室申込!$J$1:$J$212,$AW333)="","",INDEX(教室申込!$J$1:$J$212,$AW333)))</f>
        <v/>
      </c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" t="str">
        <f>IF(AND(ROW()-1&lt;=教室申込!$K$5,教室申込!$K$7=0,COUNTA(教室申込!$C$4)=1),INDEX(展開用!$B$2:$B$601,MATCH(ROW()-1,展開用!$E$2:$E$601,0)),"")</f>
        <v/>
      </c>
      <c r="AX333" s="1"/>
      <c r="AY333" s="1"/>
    </row>
    <row r="334" spans="1:51" ht="24" customHeight="1">
      <c r="A334" s="11"/>
      <c r="B334" s="11"/>
      <c r="C334" s="11"/>
      <c r="D334" s="11"/>
      <c r="E334" s="11"/>
      <c r="F334" s="11"/>
      <c r="G334" s="11"/>
      <c r="H334" s="11" t="str">
        <f>IF(AND(ROW()-1&lt;=教室申込!$K$5,教室申込!$K$7=0,COUNTA(教室申込!$C$4)=1),INDEX(展開用!$C$2:$C$601,MATCH(ROW()-1,展開用!$E$2:$E$601,0)),"")</f>
        <v/>
      </c>
      <c r="I334" s="11" t="str">
        <f>IF(AND(ROW()-1&lt;=教室申込!$K$5,教室申込!$K$7=0,COUNTA(教室申込!$C$4)=1),INDEX(展開用!$D$2:$D$601,MATCH(ROW()-1,展開用!$E$2:$E$601,0)),"")</f>
        <v/>
      </c>
      <c r="J334" s="11"/>
      <c r="K334" s="11"/>
      <c r="L334" s="11" t="str">
        <f>IF(AND(ROW()-1&lt;=教室申込!$K$5,教室申込!$K$7=0,COUNTA(教室申込!$C$4)=1),INDEX(教室申込!$B$1:$B$212,$AW334),"")</f>
        <v/>
      </c>
      <c r="M334" s="11" t="str">
        <f>IF(AND(ROW()-1&lt;=教室申込!$K$5,教室申込!$K$7=0,COUNTA(教室申込!$C$4)=1),INDEX(教室申込!$C$1:$C$212,$AW334),"")</f>
        <v/>
      </c>
      <c r="N334" s="11"/>
      <c r="O334" s="12" t="str">
        <f>IF(AND(ROW()-1&lt;=教室申込!$K$5,教室申込!$K$7=0,COUNTA(教室申込!$C$4)=1),INDEX(展開用!$G$2:$G$601,MATCH(ROW()-1,展開用!$E$2:$E$601,0)),"")</f>
        <v/>
      </c>
      <c r="P334" s="11"/>
      <c r="Q334" s="11"/>
      <c r="R334" s="11"/>
      <c r="S334" s="11"/>
      <c r="T334" s="11"/>
      <c r="U334" s="11" t="str">
        <f>IF(AND(ROW()-1&lt;=教室申込!$K$5,教室申込!$K$7=0,COUNTA(教室申込!$C$4)=1),INDEX(展開用!$F$2:$F$601,MATCH(ROW()-1,展開用!$E$2:$E$601,0)),"")</f>
        <v/>
      </c>
      <c r="V334" s="11"/>
      <c r="W334" s="11"/>
      <c r="X334" s="11"/>
      <c r="Y334" s="11"/>
      <c r="Z334" s="11"/>
      <c r="AA334" s="11" t="str">
        <f>IF($AW334="","",IF(INDEX(教室申込!$J$1:$J$212,$AW334)="","",INDEX(教室申込!$J$1:$J$212,$AW334)))</f>
        <v/>
      </c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" t="str">
        <f>IF(AND(ROW()-1&lt;=教室申込!$K$5,教室申込!$K$7=0,COUNTA(教室申込!$C$4)=1),INDEX(展開用!$B$2:$B$601,MATCH(ROW()-1,展開用!$E$2:$E$601,0)),"")</f>
        <v/>
      </c>
      <c r="AX334" s="1"/>
      <c r="AY334" s="1"/>
    </row>
    <row r="335" spans="1:51" ht="24" customHeight="1">
      <c r="A335" s="11"/>
      <c r="B335" s="11"/>
      <c r="C335" s="11"/>
      <c r="D335" s="11"/>
      <c r="E335" s="11"/>
      <c r="F335" s="11"/>
      <c r="G335" s="11"/>
      <c r="H335" s="11" t="str">
        <f>IF(AND(ROW()-1&lt;=教室申込!$K$5,教室申込!$K$7=0,COUNTA(教室申込!$C$4)=1),INDEX(展開用!$C$2:$C$601,MATCH(ROW()-1,展開用!$E$2:$E$601,0)),"")</f>
        <v/>
      </c>
      <c r="I335" s="11" t="str">
        <f>IF(AND(ROW()-1&lt;=教室申込!$K$5,教室申込!$K$7=0,COUNTA(教室申込!$C$4)=1),INDEX(展開用!$D$2:$D$601,MATCH(ROW()-1,展開用!$E$2:$E$601,0)),"")</f>
        <v/>
      </c>
      <c r="J335" s="11"/>
      <c r="K335" s="11"/>
      <c r="L335" s="11" t="str">
        <f>IF(AND(ROW()-1&lt;=教室申込!$K$5,教室申込!$K$7=0,COUNTA(教室申込!$C$4)=1),INDEX(教室申込!$B$1:$B$212,$AW335),"")</f>
        <v/>
      </c>
      <c r="M335" s="11" t="str">
        <f>IF(AND(ROW()-1&lt;=教室申込!$K$5,教室申込!$K$7=0,COUNTA(教室申込!$C$4)=1),INDEX(教室申込!$C$1:$C$212,$AW335),"")</f>
        <v/>
      </c>
      <c r="N335" s="11"/>
      <c r="O335" s="12" t="str">
        <f>IF(AND(ROW()-1&lt;=教室申込!$K$5,教室申込!$K$7=0,COUNTA(教室申込!$C$4)=1),INDEX(展開用!$G$2:$G$601,MATCH(ROW()-1,展開用!$E$2:$E$601,0)),"")</f>
        <v/>
      </c>
      <c r="P335" s="11"/>
      <c r="Q335" s="11"/>
      <c r="R335" s="11"/>
      <c r="S335" s="11"/>
      <c r="T335" s="11"/>
      <c r="U335" s="11" t="str">
        <f>IF(AND(ROW()-1&lt;=教室申込!$K$5,教室申込!$K$7=0,COUNTA(教室申込!$C$4)=1),INDEX(展開用!$F$2:$F$601,MATCH(ROW()-1,展開用!$E$2:$E$601,0)),"")</f>
        <v/>
      </c>
      <c r="V335" s="11"/>
      <c r="W335" s="11"/>
      <c r="X335" s="11"/>
      <c r="Y335" s="11"/>
      <c r="Z335" s="11"/>
      <c r="AA335" s="11" t="str">
        <f>IF($AW335="","",IF(INDEX(教室申込!$J$1:$J$212,$AW335)="","",INDEX(教室申込!$J$1:$J$212,$AW335)))</f>
        <v/>
      </c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" t="str">
        <f>IF(AND(ROW()-1&lt;=教室申込!$K$5,教室申込!$K$7=0,COUNTA(教室申込!$C$4)=1),INDEX(展開用!$B$2:$B$601,MATCH(ROW()-1,展開用!$E$2:$E$601,0)),"")</f>
        <v/>
      </c>
      <c r="AX335" s="1"/>
      <c r="AY335" s="1"/>
    </row>
    <row r="336" spans="1:51" ht="24" customHeight="1">
      <c r="A336" s="11"/>
      <c r="B336" s="11"/>
      <c r="C336" s="11"/>
      <c r="D336" s="11"/>
      <c r="E336" s="11"/>
      <c r="F336" s="11"/>
      <c r="G336" s="11"/>
      <c r="H336" s="11" t="str">
        <f>IF(AND(ROW()-1&lt;=教室申込!$K$5,教室申込!$K$7=0,COUNTA(教室申込!$C$4)=1),INDEX(展開用!$C$2:$C$601,MATCH(ROW()-1,展開用!$E$2:$E$601,0)),"")</f>
        <v/>
      </c>
      <c r="I336" s="11" t="str">
        <f>IF(AND(ROW()-1&lt;=教室申込!$K$5,教室申込!$K$7=0,COUNTA(教室申込!$C$4)=1),INDEX(展開用!$D$2:$D$601,MATCH(ROW()-1,展開用!$E$2:$E$601,0)),"")</f>
        <v/>
      </c>
      <c r="J336" s="11"/>
      <c r="K336" s="11"/>
      <c r="L336" s="11" t="str">
        <f>IF(AND(ROW()-1&lt;=教室申込!$K$5,教室申込!$K$7=0,COUNTA(教室申込!$C$4)=1),INDEX(教室申込!$B$1:$B$212,$AW336),"")</f>
        <v/>
      </c>
      <c r="M336" s="11" t="str">
        <f>IF(AND(ROW()-1&lt;=教室申込!$K$5,教室申込!$K$7=0,COUNTA(教室申込!$C$4)=1),INDEX(教室申込!$C$1:$C$212,$AW336),"")</f>
        <v/>
      </c>
      <c r="N336" s="11"/>
      <c r="O336" s="12" t="str">
        <f>IF(AND(ROW()-1&lt;=教室申込!$K$5,教室申込!$K$7=0,COUNTA(教室申込!$C$4)=1),INDEX(展開用!$G$2:$G$601,MATCH(ROW()-1,展開用!$E$2:$E$601,0)),"")</f>
        <v/>
      </c>
      <c r="P336" s="11"/>
      <c r="Q336" s="11"/>
      <c r="R336" s="11"/>
      <c r="S336" s="11"/>
      <c r="T336" s="11"/>
      <c r="U336" s="11" t="str">
        <f>IF(AND(ROW()-1&lt;=教室申込!$K$5,教室申込!$K$7=0,COUNTA(教室申込!$C$4)=1),INDEX(展開用!$F$2:$F$601,MATCH(ROW()-1,展開用!$E$2:$E$601,0)),"")</f>
        <v/>
      </c>
      <c r="V336" s="11"/>
      <c r="W336" s="11"/>
      <c r="X336" s="11"/>
      <c r="Y336" s="11"/>
      <c r="Z336" s="11"/>
      <c r="AA336" s="11" t="str">
        <f>IF($AW336="","",IF(INDEX(教室申込!$J$1:$J$212,$AW336)="","",INDEX(教室申込!$J$1:$J$212,$AW336)))</f>
        <v/>
      </c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" t="str">
        <f>IF(AND(ROW()-1&lt;=教室申込!$K$5,教室申込!$K$7=0,COUNTA(教室申込!$C$4)=1),INDEX(展開用!$B$2:$B$601,MATCH(ROW()-1,展開用!$E$2:$E$601,0)),"")</f>
        <v/>
      </c>
      <c r="AX336" s="1"/>
      <c r="AY336" s="1"/>
    </row>
    <row r="337" spans="1:51" ht="24" customHeight="1">
      <c r="A337" s="11"/>
      <c r="B337" s="11"/>
      <c r="C337" s="11"/>
      <c r="D337" s="11"/>
      <c r="E337" s="11"/>
      <c r="F337" s="11"/>
      <c r="G337" s="11"/>
      <c r="H337" s="11" t="str">
        <f>IF(AND(ROW()-1&lt;=教室申込!$K$5,教室申込!$K$7=0,COUNTA(教室申込!$C$4)=1),INDEX(展開用!$C$2:$C$601,MATCH(ROW()-1,展開用!$E$2:$E$601,0)),"")</f>
        <v/>
      </c>
      <c r="I337" s="11" t="str">
        <f>IF(AND(ROW()-1&lt;=教室申込!$K$5,教室申込!$K$7=0,COUNTA(教室申込!$C$4)=1),INDEX(展開用!$D$2:$D$601,MATCH(ROW()-1,展開用!$E$2:$E$601,0)),"")</f>
        <v/>
      </c>
      <c r="J337" s="11"/>
      <c r="K337" s="11"/>
      <c r="L337" s="11" t="str">
        <f>IF(AND(ROW()-1&lt;=教室申込!$K$5,教室申込!$K$7=0,COUNTA(教室申込!$C$4)=1),INDEX(教室申込!$B$1:$B$212,$AW337),"")</f>
        <v/>
      </c>
      <c r="M337" s="11" t="str">
        <f>IF(AND(ROW()-1&lt;=教室申込!$K$5,教室申込!$K$7=0,COUNTA(教室申込!$C$4)=1),INDEX(教室申込!$C$1:$C$212,$AW337),"")</f>
        <v/>
      </c>
      <c r="N337" s="11"/>
      <c r="O337" s="12" t="str">
        <f>IF(AND(ROW()-1&lt;=教室申込!$K$5,教室申込!$K$7=0,COUNTA(教室申込!$C$4)=1),INDEX(展開用!$G$2:$G$601,MATCH(ROW()-1,展開用!$E$2:$E$601,0)),"")</f>
        <v/>
      </c>
      <c r="P337" s="11"/>
      <c r="Q337" s="11"/>
      <c r="R337" s="11"/>
      <c r="S337" s="11"/>
      <c r="T337" s="11"/>
      <c r="U337" s="11" t="str">
        <f>IF(AND(ROW()-1&lt;=教室申込!$K$5,教室申込!$K$7=0,COUNTA(教室申込!$C$4)=1),INDEX(展開用!$F$2:$F$601,MATCH(ROW()-1,展開用!$E$2:$E$601,0)),"")</f>
        <v/>
      </c>
      <c r="V337" s="11"/>
      <c r="W337" s="11"/>
      <c r="X337" s="11"/>
      <c r="Y337" s="11"/>
      <c r="Z337" s="11"/>
      <c r="AA337" s="11" t="str">
        <f>IF($AW337="","",IF(INDEX(教室申込!$J$1:$J$212,$AW337)="","",INDEX(教室申込!$J$1:$J$212,$AW337)))</f>
        <v/>
      </c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" t="str">
        <f>IF(AND(ROW()-1&lt;=教室申込!$K$5,教室申込!$K$7=0,COUNTA(教室申込!$C$4)=1),INDEX(展開用!$B$2:$B$601,MATCH(ROW()-1,展開用!$E$2:$E$601,0)),"")</f>
        <v/>
      </c>
      <c r="AX337" s="1"/>
      <c r="AY337" s="1"/>
    </row>
    <row r="338" spans="1:51" ht="24" customHeight="1">
      <c r="A338" s="11"/>
      <c r="B338" s="11"/>
      <c r="C338" s="11"/>
      <c r="D338" s="11"/>
      <c r="E338" s="11"/>
      <c r="F338" s="11"/>
      <c r="G338" s="11"/>
      <c r="H338" s="11" t="str">
        <f>IF(AND(ROW()-1&lt;=教室申込!$K$5,教室申込!$K$7=0,COUNTA(教室申込!$C$4)=1),INDEX(展開用!$C$2:$C$601,MATCH(ROW()-1,展開用!$E$2:$E$601,0)),"")</f>
        <v/>
      </c>
      <c r="I338" s="11" t="str">
        <f>IF(AND(ROW()-1&lt;=教室申込!$K$5,教室申込!$K$7=0,COUNTA(教室申込!$C$4)=1),INDEX(展開用!$D$2:$D$601,MATCH(ROW()-1,展開用!$E$2:$E$601,0)),"")</f>
        <v/>
      </c>
      <c r="J338" s="11"/>
      <c r="K338" s="11"/>
      <c r="L338" s="11" t="str">
        <f>IF(AND(ROW()-1&lt;=教室申込!$K$5,教室申込!$K$7=0,COUNTA(教室申込!$C$4)=1),INDEX(教室申込!$B$1:$B$212,$AW338),"")</f>
        <v/>
      </c>
      <c r="M338" s="11" t="str">
        <f>IF(AND(ROW()-1&lt;=教室申込!$K$5,教室申込!$K$7=0,COUNTA(教室申込!$C$4)=1),INDEX(教室申込!$C$1:$C$212,$AW338),"")</f>
        <v/>
      </c>
      <c r="N338" s="11"/>
      <c r="O338" s="12" t="str">
        <f>IF(AND(ROW()-1&lt;=教室申込!$K$5,教室申込!$K$7=0,COUNTA(教室申込!$C$4)=1),INDEX(展開用!$G$2:$G$601,MATCH(ROW()-1,展開用!$E$2:$E$601,0)),"")</f>
        <v/>
      </c>
      <c r="P338" s="11"/>
      <c r="Q338" s="11"/>
      <c r="R338" s="11"/>
      <c r="S338" s="11"/>
      <c r="T338" s="11"/>
      <c r="U338" s="11" t="str">
        <f>IF(AND(ROW()-1&lt;=教室申込!$K$5,教室申込!$K$7=0,COUNTA(教室申込!$C$4)=1),INDEX(展開用!$F$2:$F$601,MATCH(ROW()-1,展開用!$E$2:$E$601,0)),"")</f>
        <v/>
      </c>
      <c r="V338" s="11"/>
      <c r="W338" s="11"/>
      <c r="X338" s="11"/>
      <c r="Y338" s="11"/>
      <c r="Z338" s="11"/>
      <c r="AA338" s="11" t="str">
        <f>IF($AW338="","",IF(INDEX(教室申込!$J$1:$J$212,$AW338)="","",INDEX(教室申込!$J$1:$J$212,$AW338)))</f>
        <v/>
      </c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" t="str">
        <f>IF(AND(ROW()-1&lt;=教室申込!$K$5,教室申込!$K$7=0,COUNTA(教室申込!$C$4)=1),INDEX(展開用!$B$2:$B$601,MATCH(ROW()-1,展開用!$E$2:$E$601,0)),"")</f>
        <v/>
      </c>
      <c r="AX338" s="1"/>
      <c r="AY338" s="1"/>
    </row>
    <row r="339" spans="1:51" ht="24" customHeight="1">
      <c r="A339" s="11"/>
      <c r="B339" s="11"/>
      <c r="C339" s="11"/>
      <c r="D339" s="11"/>
      <c r="E339" s="11"/>
      <c r="F339" s="11"/>
      <c r="G339" s="11"/>
      <c r="H339" s="11" t="str">
        <f>IF(AND(ROW()-1&lt;=教室申込!$K$5,教室申込!$K$7=0,COUNTA(教室申込!$C$4)=1),INDEX(展開用!$C$2:$C$601,MATCH(ROW()-1,展開用!$E$2:$E$601,0)),"")</f>
        <v/>
      </c>
      <c r="I339" s="11" t="str">
        <f>IF(AND(ROW()-1&lt;=教室申込!$K$5,教室申込!$K$7=0,COUNTA(教室申込!$C$4)=1),INDEX(展開用!$D$2:$D$601,MATCH(ROW()-1,展開用!$E$2:$E$601,0)),"")</f>
        <v/>
      </c>
      <c r="J339" s="11"/>
      <c r="K339" s="11"/>
      <c r="L339" s="11" t="str">
        <f>IF(AND(ROW()-1&lt;=教室申込!$K$5,教室申込!$K$7=0,COUNTA(教室申込!$C$4)=1),INDEX(教室申込!$B$1:$B$212,$AW339),"")</f>
        <v/>
      </c>
      <c r="M339" s="11" t="str">
        <f>IF(AND(ROW()-1&lt;=教室申込!$K$5,教室申込!$K$7=0,COUNTA(教室申込!$C$4)=1),INDEX(教室申込!$C$1:$C$212,$AW339),"")</f>
        <v/>
      </c>
      <c r="N339" s="11"/>
      <c r="O339" s="12" t="str">
        <f>IF(AND(ROW()-1&lt;=教室申込!$K$5,教室申込!$K$7=0,COUNTA(教室申込!$C$4)=1),INDEX(展開用!$G$2:$G$601,MATCH(ROW()-1,展開用!$E$2:$E$601,0)),"")</f>
        <v/>
      </c>
      <c r="P339" s="11"/>
      <c r="Q339" s="11"/>
      <c r="R339" s="11"/>
      <c r="S339" s="11"/>
      <c r="T339" s="11"/>
      <c r="U339" s="11" t="str">
        <f>IF(AND(ROW()-1&lt;=教室申込!$K$5,教室申込!$K$7=0,COUNTA(教室申込!$C$4)=1),INDEX(展開用!$F$2:$F$601,MATCH(ROW()-1,展開用!$E$2:$E$601,0)),"")</f>
        <v/>
      </c>
      <c r="V339" s="11"/>
      <c r="W339" s="11"/>
      <c r="X339" s="11"/>
      <c r="Y339" s="11"/>
      <c r="Z339" s="11"/>
      <c r="AA339" s="11" t="str">
        <f>IF($AW339="","",IF(INDEX(教室申込!$J$1:$J$212,$AW339)="","",INDEX(教室申込!$J$1:$J$212,$AW339)))</f>
        <v/>
      </c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" t="str">
        <f>IF(AND(ROW()-1&lt;=教室申込!$K$5,教室申込!$K$7=0,COUNTA(教室申込!$C$4)=1),INDEX(展開用!$B$2:$B$601,MATCH(ROW()-1,展開用!$E$2:$E$601,0)),"")</f>
        <v/>
      </c>
      <c r="AX339" s="1"/>
      <c r="AY339" s="1"/>
    </row>
    <row r="340" spans="1:51" ht="24" customHeight="1">
      <c r="A340" s="11"/>
      <c r="B340" s="11"/>
      <c r="C340" s="11"/>
      <c r="D340" s="11"/>
      <c r="E340" s="11"/>
      <c r="F340" s="11"/>
      <c r="G340" s="11"/>
      <c r="H340" s="11" t="str">
        <f>IF(AND(ROW()-1&lt;=教室申込!$K$5,教室申込!$K$7=0,COUNTA(教室申込!$C$4)=1),INDEX(展開用!$C$2:$C$601,MATCH(ROW()-1,展開用!$E$2:$E$601,0)),"")</f>
        <v/>
      </c>
      <c r="I340" s="11" t="str">
        <f>IF(AND(ROW()-1&lt;=教室申込!$K$5,教室申込!$K$7=0,COUNTA(教室申込!$C$4)=1),INDEX(展開用!$D$2:$D$601,MATCH(ROW()-1,展開用!$E$2:$E$601,0)),"")</f>
        <v/>
      </c>
      <c r="J340" s="11"/>
      <c r="K340" s="11"/>
      <c r="L340" s="11" t="str">
        <f>IF(AND(ROW()-1&lt;=教室申込!$K$5,教室申込!$K$7=0,COUNTA(教室申込!$C$4)=1),INDEX(教室申込!$B$1:$B$212,$AW340),"")</f>
        <v/>
      </c>
      <c r="M340" s="11" t="str">
        <f>IF(AND(ROW()-1&lt;=教室申込!$K$5,教室申込!$K$7=0,COUNTA(教室申込!$C$4)=1),INDEX(教室申込!$C$1:$C$212,$AW340),"")</f>
        <v/>
      </c>
      <c r="N340" s="11"/>
      <c r="O340" s="12" t="str">
        <f>IF(AND(ROW()-1&lt;=教室申込!$K$5,教室申込!$K$7=0,COUNTA(教室申込!$C$4)=1),INDEX(展開用!$G$2:$G$601,MATCH(ROW()-1,展開用!$E$2:$E$601,0)),"")</f>
        <v/>
      </c>
      <c r="P340" s="11"/>
      <c r="Q340" s="11"/>
      <c r="R340" s="11"/>
      <c r="S340" s="11"/>
      <c r="T340" s="11"/>
      <c r="U340" s="11" t="str">
        <f>IF(AND(ROW()-1&lt;=教室申込!$K$5,教室申込!$K$7=0,COUNTA(教室申込!$C$4)=1),INDEX(展開用!$F$2:$F$601,MATCH(ROW()-1,展開用!$E$2:$E$601,0)),"")</f>
        <v/>
      </c>
      <c r="V340" s="11"/>
      <c r="W340" s="11"/>
      <c r="X340" s="11"/>
      <c r="Y340" s="11"/>
      <c r="Z340" s="11"/>
      <c r="AA340" s="11" t="str">
        <f>IF($AW340="","",IF(INDEX(教室申込!$J$1:$J$212,$AW340)="","",INDEX(教室申込!$J$1:$J$212,$AW340)))</f>
        <v/>
      </c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" t="str">
        <f>IF(AND(ROW()-1&lt;=教室申込!$K$5,教室申込!$K$7=0,COUNTA(教室申込!$C$4)=1),INDEX(展開用!$B$2:$B$601,MATCH(ROW()-1,展開用!$E$2:$E$601,0)),"")</f>
        <v/>
      </c>
      <c r="AX340" s="1"/>
      <c r="AY340" s="1"/>
    </row>
    <row r="341" spans="1:51" ht="24" customHeight="1">
      <c r="A341" s="11"/>
      <c r="B341" s="11"/>
      <c r="C341" s="11"/>
      <c r="D341" s="11"/>
      <c r="E341" s="11"/>
      <c r="F341" s="11"/>
      <c r="G341" s="11"/>
      <c r="H341" s="11" t="str">
        <f>IF(AND(ROW()-1&lt;=教室申込!$K$5,教室申込!$K$7=0,COUNTA(教室申込!$C$4)=1),INDEX(展開用!$C$2:$C$601,MATCH(ROW()-1,展開用!$E$2:$E$601,0)),"")</f>
        <v/>
      </c>
      <c r="I341" s="11" t="str">
        <f>IF(AND(ROW()-1&lt;=教室申込!$K$5,教室申込!$K$7=0,COUNTA(教室申込!$C$4)=1),INDEX(展開用!$D$2:$D$601,MATCH(ROW()-1,展開用!$E$2:$E$601,0)),"")</f>
        <v/>
      </c>
      <c r="J341" s="11"/>
      <c r="K341" s="11"/>
      <c r="L341" s="11" t="str">
        <f>IF(AND(ROW()-1&lt;=教室申込!$K$5,教室申込!$K$7=0,COUNTA(教室申込!$C$4)=1),INDEX(教室申込!$B$1:$B$212,$AW341),"")</f>
        <v/>
      </c>
      <c r="M341" s="11" t="str">
        <f>IF(AND(ROW()-1&lt;=教室申込!$K$5,教室申込!$K$7=0,COUNTA(教室申込!$C$4)=1),INDEX(教室申込!$C$1:$C$212,$AW341),"")</f>
        <v/>
      </c>
      <c r="N341" s="11"/>
      <c r="O341" s="12" t="str">
        <f>IF(AND(ROW()-1&lt;=教室申込!$K$5,教室申込!$K$7=0,COUNTA(教室申込!$C$4)=1),INDEX(展開用!$G$2:$G$601,MATCH(ROW()-1,展開用!$E$2:$E$601,0)),"")</f>
        <v/>
      </c>
      <c r="P341" s="11"/>
      <c r="Q341" s="11"/>
      <c r="R341" s="11"/>
      <c r="S341" s="11"/>
      <c r="T341" s="11"/>
      <c r="U341" s="11" t="str">
        <f>IF(AND(ROW()-1&lt;=教室申込!$K$5,教室申込!$K$7=0,COUNTA(教室申込!$C$4)=1),INDEX(展開用!$F$2:$F$601,MATCH(ROW()-1,展開用!$E$2:$E$601,0)),"")</f>
        <v/>
      </c>
      <c r="V341" s="11"/>
      <c r="W341" s="11"/>
      <c r="X341" s="11"/>
      <c r="Y341" s="11"/>
      <c r="Z341" s="11"/>
      <c r="AA341" s="11" t="str">
        <f>IF($AW341="","",IF(INDEX(教室申込!$J$1:$J$212,$AW341)="","",INDEX(教室申込!$J$1:$J$212,$AW341)))</f>
        <v/>
      </c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" t="str">
        <f>IF(AND(ROW()-1&lt;=教室申込!$K$5,教室申込!$K$7=0,COUNTA(教室申込!$C$4)=1),INDEX(展開用!$B$2:$B$601,MATCH(ROW()-1,展開用!$E$2:$E$601,0)),"")</f>
        <v/>
      </c>
      <c r="AX341" s="1"/>
      <c r="AY341" s="1"/>
    </row>
    <row r="342" spans="1:51" ht="24" customHeight="1">
      <c r="A342" s="11"/>
      <c r="B342" s="11"/>
      <c r="C342" s="11"/>
      <c r="D342" s="11"/>
      <c r="E342" s="11"/>
      <c r="F342" s="11"/>
      <c r="G342" s="11"/>
      <c r="H342" s="11" t="str">
        <f>IF(AND(ROW()-1&lt;=教室申込!$K$5,教室申込!$K$7=0,COUNTA(教室申込!$C$4)=1),INDEX(展開用!$C$2:$C$601,MATCH(ROW()-1,展開用!$E$2:$E$601,0)),"")</f>
        <v/>
      </c>
      <c r="I342" s="11" t="str">
        <f>IF(AND(ROW()-1&lt;=教室申込!$K$5,教室申込!$K$7=0,COUNTA(教室申込!$C$4)=1),INDEX(展開用!$D$2:$D$601,MATCH(ROW()-1,展開用!$E$2:$E$601,0)),"")</f>
        <v/>
      </c>
      <c r="J342" s="11"/>
      <c r="K342" s="11"/>
      <c r="L342" s="11" t="str">
        <f>IF(AND(ROW()-1&lt;=教室申込!$K$5,教室申込!$K$7=0,COUNTA(教室申込!$C$4)=1),INDEX(教室申込!$B$1:$B$212,$AW342),"")</f>
        <v/>
      </c>
      <c r="M342" s="11" t="str">
        <f>IF(AND(ROW()-1&lt;=教室申込!$K$5,教室申込!$K$7=0,COUNTA(教室申込!$C$4)=1),INDEX(教室申込!$C$1:$C$212,$AW342),"")</f>
        <v/>
      </c>
      <c r="N342" s="11"/>
      <c r="O342" s="12" t="str">
        <f>IF(AND(ROW()-1&lt;=教室申込!$K$5,教室申込!$K$7=0,COUNTA(教室申込!$C$4)=1),INDEX(展開用!$G$2:$G$601,MATCH(ROW()-1,展開用!$E$2:$E$601,0)),"")</f>
        <v/>
      </c>
      <c r="P342" s="11"/>
      <c r="Q342" s="11"/>
      <c r="R342" s="11"/>
      <c r="S342" s="11"/>
      <c r="T342" s="11"/>
      <c r="U342" s="11" t="str">
        <f>IF(AND(ROW()-1&lt;=教室申込!$K$5,教室申込!$K$7=0,COUNTA(教室申込!$C$4)=1),INDEX(展開用!$F$2:$F$601,MATCH(ROW()-1,展開用!$E$2:$E$601,0)),"")</f>
        <v/>
      </c>
      <c r="V342" s="11"/>
      <c r="W342" s="11"/>
      <c r="X342" s="11"/>
      <c r="Y342" s="11"/>
      <c r="Z342" s="11"/>
      <c r="AA342" s="11" t="str">
        <f>IF($AW342="","",IF(INDEX(教室申込!$J$1:$J$212,$AW342)="","",INDEX(教室申込!$J$1:$J$212,$AW342)))</f>
        <v/>
      </c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" t="str">
        <f>IF(AND(ROW()-1&lt;=教室申込!$K$5,教室申込!$K$7=0,COUNTA(教室申込!$C$4)=1),INDEX(展開用!$B$2:$B$601,MATCH(ROW()-1,展開用!$E$2:$E$601,0)),"")</f>
        <v/>
      </c>
      <c r="AX342" s="1"/>
      <c r="AY342" s="1"/>
    </row>
    <row r="343" spans="1:51" ht="24" customHeight="1">
      <c r="A343" s="11"/>
      <c r="B343" s="11"/>
      <c r="C343" s="11"/>
      <c r="D343" s="11"/>
      <c r="E343" s="11"/>
      <c r="F343" s="11"/>
      <c r="G343" s="11"/>
      <c r="H343" s="11" t="str">
        <f>IF(AND(ROW()-1&lt;=教室申込!$K$5,教室申込!$K$7=0,COUNTA(教室申込!$C$4)=1),INDEX(展開用!$C$2:$C$601,MATCH(ROW()-1,展開用!$E$2:$E$601,0)),"")</f>
        <v/>
      </c>
      <c r="I343" s="11" t="str">
        <f>IF(AND(ROW()-1&lt;=教室申込!$K$5,教室申込!$K$7=0,COUNTA(教室申込!$C$4)=1),INDEX(展開用!$D$2:$D$601,MATCH(ROW()-1,展開用!$E$2:$E$601,0)),"")</f>
        <v/>
      </c>
      <c r="J343" s="11"/>
      <c r="K343" s="11"/>
      <c r="L343" s="11" t="str">
        <f>IF(AND(ROW()-1&lt;=教室申込!$K$5,教室申込!$K$7=0,COUNTA(教室申込!$C$4)=1),INDEX(教室申込!$B$1:$B$212,$AW343),"")</f>
        <v/>
      </c>
      <c r="M343" s="11" t="str">
        <f>IF(AND(ROW()-1&lt;=教室申込!$K$5,教室申込!$K$7=0,COUNTA(教室申込!$C$4)=1),INDEX(教室申込!$C$1:$C$212,$AW343),"")</f>
        <v/>
      </c>
      <c r="N343" s="11"/>
      <c r="O343" s="12" t="str">
        <f>IF(AND(ROW()-1&lt;=教室申込!$K$5,教室申込!$K$7=0,COUNTA(教室申込!$C$4)=1),INDEX(展開用!$G$2:$G$601,MATCH(ROW()-1,展開用!$E$2:$E$601,0)),"")</f>
        <v/>
      </c>
      <c r="P343" s="11"/>
      <c r="Q343" s="11"/>
      <c r="R343" s="11"/>
      <c r="S343" s="11"/>
      <c r="T343" s="11"/>
      <c r="U343" s="11" t="str">
        <f>IF(AND(ROW()-1&lt;=教室申込!$K$5,教室申込!$K$7=0,COUNTA(教室申込!$C$4)=1),INDEX(展開用!$F$2:$F$601,MATCH(ROW()-1,展開用!$E$2:$E$601,0)),"")</f>
        <v/>
      </c>
      <c r="V343" s="11"/>
      <c r="W343" s="11"/>
      <c r="X343" s="11"/>
      <c r="Y343" s="11"/>
      <c r="Z343" s="11"/>
      <c r="AA343" s="11" t="str">
        <f>IF($AW343="","",IF(INDEX(教室申込!$J$1:$J$212,$AW343)="","",INDEX(教室申込!$J$1:$J$212,$AW343)))</f>
        <v/>
      </c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" t="str">
        <f>IF(AND(ROW()-1&lt;=教室申込!$K$5,教室申込!$K$7=0,COUNTA(教室申込!$C$4)=1),INDEX(展開用!$B$2:$B$601,MATCH(ROW()-1,展開用!$E$2:$E$601,0)),"")</f>
        <v/>
      </c>
      <c r="AX343" s="1"/>
      <c r="AY343" s="1"/>
    </row>
    <row r="344" spans="1:51" ht="24" customHeight="1">
      <c r="A344" s="11"/>
      <c r="B344" s="11"/>
      <c r="C344" s="11"/>
      <c r="D344" s="11"/>
      <c r="E344" s="11"/>
      <c r="F344" s="11"/>
      <c r="G344" s="11"/>
      <c r="H344" s="11" t="str">
        <f>IF(AND(ROW()-1&lt;=教室申込!$K$5,教室申込!$K$7=0,COUNTA(教室申込!$C$4)=1),INDEX(展開用!$C$2:$C$601,MATCH(ROW()-1,展開用!$E$2:$E$601,0)),"")</f>
        <v/>
      </c>
      <c r="I344" s="11" t="str">
        <f>IF(AND(ROW()-1&lt;=教室申込!$K$5,教室申込!$K$7=0,COUNTA(教室申込!$C$4)=1),INDEX(展開用!$D$2:$D$601,MATCH(ROW()-1,展開用!$E$2:$E$601,0)),"")</f>
        <v/>
      </c>
      <c r="J344" s="11"/>
      <c r="K344" s="11"/>
      <c r="L344" s="11" t="str">
        <f>IF(AND(ROW()-1&lt;=教室申込!$K$5,教室申込!$K$7=0,COUNTA(教室申込!$C$4)=1),INDEX(教室申込!$B$1:$B$212,$AW344),"")</f>
        <v/>
      </c>
      <c r="M344" s="11" t="str">
        <f>IF(AND(ROW()-1&lt;=教室申込!$K$5,教室申込!$K$7=0,COUNTA(教室申込!$C$4)=1),INDEX(教室申込!$C$1:$C$212,$AW344),"")</f>
        <v/>
      </c>
      <c r="N344" s="11"/>
      <c r="O344" s="12" t="str">
        <f>IF(AND(ROW()-1&lt;=教室申込!$K$5,教室申込!$K$7=0,COUNTA(教室申込!$C$4)=1),INDEX(展開用!$G$2:$G$601,MATCH(ROW()-1,展開用!$E$2:$E$601,0)),"")</f>
        <v/>
      </c>
      <c r="P344" s="11"/>
      <c r="Q344" s="11"/>
      <c r="R344" s="11"/>
      <c r="S344" s="11"/>
      <c r="T344" s="11"/>
      <c r="U344" s="11" t="str">
        <f>IF(AND(ROW()-1&lt;=教室申込!$K$5,教室申込!$K$7=0,COUNTA(教室申込!$C$4)=1),INDEX(展開用!$F$2:$F$601,MATCH(ROW()-1,展開用!$E$2:$E$601,0)),"")</f>
        <v/>
      </c>
      <c r="V344" s="11"/>
      <c r="W344" s="11"/>
      <c r="X344" s="11"/>
      <c r="Y344" s="11"/>
      <c r="Z344" s="11"/>
      <c r="AA344" s="11" t="str">
        <f>IF($AW344="","",IF(INDEX(教室申込!$J$1:$J$212,$AW344)="","",INDEX(教室申込!$J$1:$J$212,$AW344)))</f>
        <v/>
      </c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" t="str">
        <f>IF(AND(ROW()-1&lt;=教室申込!$K$5,教室申込!$K$7=0,COUNTA(教室申込!$C$4)=1),INDEX(展開用!$B$2:$B$601,MATCH(ROW()-1,展開用!$E$2:$E$601,0)),"")</f>
        <v/>
      </c>
      <c r="AX344" s="1"/>
      <c r="AY344" s="1"/>
    </row>
    <row r="345" spans="1:51" ht="24" customHeight="1">
      <c r="A345" s="11"/>
      <c r="B345" s="11"/>
      <c r="C345" s="11"/>
      <c r="D345" s="11"/>
      <c r="E345" s="11"/>
      <c r="F345" s="11"/>
      <c r="G345" s="11"/>
      <c r="H345" s="11" t="str">
        <f>IF(AND(ROW()-1&lt;=教室申込!$K$5,教室申込!$K$7=0,COUNTA(教室申込!$C$4)=1),INDEX(展開用!$C$2:$C$601,MATCH(ROW()-1,展開用!$E$2:$E$601,0)),"")</f>
        <v/>
      </c>
      <c r="I345" s="11" t="str">
        <f>IF(AND(ROW()-1&lt;=教室申込!$K$5,教室申込!$K$7=0,COUNTA(教室申込!$C$4)=1),INDEX(展開用!$D$2:$D$601,MATCH(ROW()-1,展開用!$E$2:$E$601,0)),"")</f>
        <v/>
      </c>
      <c r="J345" s="11"/>
      <c r="K345" s="11"/>
      <c r="L345" s="11" t="str">
        <f>IF(AND(ROW()-1&lt;=教室申込!$K$5,教室申込!$K$7=0,COUNTA(教室申込!$C$4)=1),INDEX(教室申込!$B$1:$B$212,$AW345),"")</f>
        <v/>
      </c>
      <c r="M345" s="11" t="str">
        <f>IF(AND(ROW()-1&lt;=教室申込!$K$5,教室申込!$K$7=0,COUNTA(教室申込!$C$4)=1),INDEX(教室申込!$C$1:$C$212,$AW345),"")</f>
        <v/>
      </c>
      <c r="N345" s="11"/>
      <c r="O345" s="12" t="str">
        <f>IF(AND(ROW()-1&lt;=教室申込!$K$5,教室申込!$K$7=0,COUNTA(教室申込!$C$4)=1),INDEX(展開用!$G$2:$G$601,MATCH(ROW()-1,展開用!$E$2:$E$601,0)),"")</f>
        <v/>
      </c>
      <c r="P345" s="11"/>
      <c r="Q345" s="11"/>
      <c r="R345" s="11"/>
      <c r="S345" s="11"/>
      <c r="T345" s="11"/>
      <c r="U345" s="11" t="str">
        <f>IF(AND(ROW()-1&lt;=教室申込!$K$5,教室申込!$K$7=0,COUNTA(教室申込!$C$4)=1),INDEX(展開用!$F$2:$F$601,MATCH(ROW()-1,展開用!$E$2:$E$601,0)),"")</f>
        <v/>
      </c>
      <c r="V345" s="11"/>
      <c r="W345" s="11"/>
      <c r="X345" s="11"/>
      <c r="Y345" s="11"/>
      <c r="Z345" s="11"/>
      <c r="AA345" s="11" t="str">
        <f>IF($AW345="","",IF(INDEX(教室申込!$J$1:$J$212,$AW345)="","",INDEX(教室申込!$J$1:$J$212,$AW345)))</f>
        <v/>
      </c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" t="str">
        <f>IF(AND(ROW()-1&lt;=教室申込!$K$5,教室申込!$K$7=0,COUNTA(教室申込!$C$4)=1),INDEX(展開用!$B$2:$B$601,MATCH(ROW()-1,展開用!$E$2:$E$601,0)),"")</f>
        <v/>
      </c>
      <c r="AX345" s="1"/>
      <c r="AY345" s="1"/>
    </row>
    <row r="346" spans="1:51" ht="24" customHeight="1">
      <c r="A346" s="11"/>
      <c r="B346" s="11"/>
      <c r="C346" s="11"/>
      <c r="D346" s="11"/>
      <c r="E346" s="11"/>
      <c r="F346" s="11"/>
      <c r="G346" s="11"/>
      <c r="H346" s="11" t="str">
        <f>IF(AND(ROW()-1&lt;=教室申込!$K$5,教室申込!$K$7=0,COUNTA(教室申込!$C$4)=1),INDEX(展開用!$C$2:$C$601,MATCH(ROW()-1,展開用!$E$2:$E$601,0)),"")</f>
        <v/>
      </c>
      <c r="I346" s="11" t="str">
        <f>IF(AND(ROW()-1&lt;=教室申込!$K$5,教室申込!$K$7=0,COUNTA(教室申込!$C$4)=1),INDEX(展開用!$D$2:$D$601,MATCH(ROW()-1,展開用!$E$2:$E$601,0)),"")</f>
        <v/>
      </c>
      <c r="J346" s="11"/>
      <c r="K346" s="11"/>
      <c r="L346" s="11" t="str">
        <f>IF(AND(ROW()-1&lt;=教室申込!$K$5,教室申込!$K$7=0,COUNTA(教室申込!$C$4)=1),INDEX(教室申込!$B$1:$B$212,$AW346),"")</f>
        <v/>
      </c>
      <c r="M346" s="11" t="str">
        <f>IF(AND(ROW()-1&lt;=教室申込!$K$5,教室申込!$K$7=0,COUNTA(教室申込!$C$4)=1),INDEX(教室申込!$C$1:$C$212,$AW346),"")</f>
        <v/>
      </c>
      <c r="N346" s="11"/>
      <c r="O346" s="12" t="str">
        <f>IF(AND(ROW()-1&lt;=教室申込!$K$5,教室申込!$K$7=0,COUNTA(教室申込!$C$4)=1),INDEX(展開用!$G$2:$G$601,MATCH(ROW()-1,展開用!$E$2:$E$601,0)),"")</f>
        <v/>
      </c>
      <c r="P346" s="11"/>
      <c r="Q346" s="11"/>
      <c r="R346" s="11"/>
      <c r="S346" s="11"/>
      <c r="T346" s="11"/>
      <c r="U346" s="11" t="str">
        <f>IF(AND(ROW()-1&lt;=教室申込!$K$5,教室申込!$K$7=0,COUNTA(教室申込!$C$4)=1),INDEX(展開用!$F$2:$F$601,MATCH(ROW()-1,展開用!$E$2:$E$601,0)),"")</f>
        <v/>
      </c>
      <c r="V346" s="11"/>
      <c r="W346" s="11"/>
      <c r="X346" s="11"/>
      <c r="Y346" s="11"/>
      <c r="Z346" s="11"/>
      <c r="AA346" s="11" t="str">
        <f>IF($AW346="","",IF(INDEX(教室申込!$J$1:$J$212,$AW346)="","",INDEX(教室申込!$J$1:$J$212,$AW346)))</f>
        <v/>
      </c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" t="str">
        <f>IF(AND(ROW()-1&lt;=教室申込!$K$5,教室申込!$K$7=0,COUNTA(教室申込!$C$4)=1),INDEX(展開用!$B$2:$B$601,MATCH(ROW()-1,展開用!$E$2:$E$601,0)),"")</f>
        <v/>
      </c>
      <c r="AX346" s="1"/>
      <c r="AY346" s="1"/>
    </row>
    <row r="347" spans="1:51" ht="24" customHeight="1">
      <c r="A347" s="11"/>
      <c r="B347" s="11"/>
      <c r="C347" s="11"/>
      <c r="D347" s="11"/>
      <c r="E347" s="11"/>
      <c r="F347" s="11"/>
      <c r="G347" s="11"/>
      <c r="H347" s="11" t="str">
        <f>IF(AND(ROW()-1&lt;=教室申込!$K$5,教室申込!$K$7=0,COUNTA(教室申込!$C$4)=1),INDEX(展開用!$C$2:$C$601,MATCH(ROW()-1,展開用!$E$2:$E$601,0)),"")</f>
        <v/>
      </c>
      <c r="I347" s="11" t="str">
        <f>IF(AND(ROW()-1&lt;=教室申込!$K$5,教室申込!$K$7=0,COUNTA(教室申込!$C$4)=1),INDEX(展開用!$D$2:$D$601,MATCH(ROW()-1,展開用!$E$2:$E$601,0)),"")</f>
        <v/>
      </c>
      <c r="J347" s="11"/>
      <c r="K347" s="11"/>
      <c r="L347" s="11" t="str">
        <f>IF(AND(ROW()-1&lt;=教室申込!$K$5,教室申込!$K$7=0,COUNTA(教室申込!$C$4)=1),INDEX(教室申込!$B$1:$B$212,$AW347),"")</f>
        <v/>
      </c>
      <c r="M347" s="11" t="str">
        <f>IF(AND(ROW()-1&lt;=教室申込!$K$5,教室申込!$K$7=0,COUNTA(教室申込!$C$4)=1),INDEX(教室申込!$C$1:$C$212,$AW347),"")</f>
        <v/>
      </c>
      <c r="N347" s="11"/>
      <c r="O347" s="12" t="str">
        <f>IF(AND(ROW()-1&lt;=教室申込!$K$5,教室申込!$K$7=0,COUNTA(教室申込!$C$4)=1),INDEX(展開用!$G$2:$G$601,MATCH(ROW()-1,展開用!$E$2:$E$601,0)),"")</f>
        <v/>
      </c>
      <c r="P347" s="11"/>
      <c r="Q347" s="11"/>
      <c r="R347" s="11"/>
      <c r="S347" s="11"/>
      <c r="T347" s="11"/>
      <c r="U347" s="11" t="str">
        <f>IF(AND(ROW()-1&lt;=教室申込!$K$5,教室申込!$K$7=0,COUNTA(教室申込!$C$4)=1),INDEX(展開用!$F$2:$F$601,MATCH(ROW()-1,展開用!$E$2:$E$601,0)),"")</f>
        <v/>
      </c>
      <c r="V347" s="11"/>
      <c r="W347" s="11"/>
      <c r="X347" s="11"/>
      <c r="Y347" s="11"/>
      <c r="Z347" s="11"/>
      <c r="AA347" s="11" t="str">
        <f>IF($AW347="","",IF(INDEX(教室申込!$J$1:$J$212,$AW347)="","",INDEX(教室申込!$J$1:$J$212,$AW347)))</f>
        <v/>
      </c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" t="str">
        <f>IF(AND(ROW()-1&lt;=教室申込!$K$5,教室申込!$K$7=0,COUNTA(教室申込!$C$4)=1),INDEX(展開用!$B$2:$B$601,MATCH(ROW()-1,展開用!$E$2:$E$601,0)),"")</f>
        <v/>
      </c>
      <c r="AX347" s="1"/>
      <c r="AY347" s="1"/>
    </row>
    <row r="348" spans="1:51" ht="24" customHeight="1">
      <c r="A348" s="11"/>
      <c r="B348" s="11"/>
      <c r="C348" s="11"/>
      <c r="D348" s="11"/>
      <c r="E348" s="11"/>
      <c r="F348" s="11"/>
      <c r="G348" s="11"/>
      <c r="H348" s="11" t="str">
        <f>IF(AND(ROW()-1&lt;=教室申込!$K$5,教室申込!$K$7=0,COUNTA(教室申込!$C$4)=1),INDEX(展開用!$C$2:$C$601,MATCH(ROW()-1,展開用!$E$2:$E$601,0)),"")</f>
        <v/>
      </c>
      <c r="I348" s="11" t="str">
        <f>IF(AND(ROW()-1&lt;=教室申込!$K$5,教室申込!$K$7=0,COUNTA(教室申込!$C$4)=1),INDEX(展開用!$D$2:$D$601,MATCH(ROW()-1,展開用!$E$2:$E$601,0)),"")</f>
        <v/>
      </c>
      <c r="J348" s="11"/>
      <c r="K348" s="11"/>
      <c r="L348" s="11" t="str">
        <f>IF(AND(ROW()-1&lt;=教室申込!$K$5,教室申込!$K$7=0,COUNTA(教室申込!$C$4)=1),INDEX(教室申込!$B$1:$B$212,$AW348),"")</f>
        <v/>
      </c>
      <c r="M348" s="11" t="str">
        <f>IF(AND(ROW()-1&lt;=教室申込!$K$5,教室申込!$K$7=0,COUNTA(教室申込!$C$4)=1),INDEX(教室申込!$C$1:$C$212,$AW348),"")</f>
        <v/>
      </c>
      <c r="N348" s="11"/>
      <c r="O348" s="12" t="str">
        <f>IF(AND(ROW()-1&lt;=教室申込!$K$5,教室申込!$K$7=0,COUNTA(教室申込!$C$4)=1),INDEX(展開用!$G$2:$G$601,MATCH(ROW()-1,展開用!$E$2:$E$601,0)),"")</f>
        <v/>
      </c>
      <c r="P348" s="11"/>
      <c r="Q348" s="11"/>
      <c r="R348" s="11"/>
      <c r="S348" s="11"/>
      <c r="T348" s="11"/>
      <c r="U348" s="11" t="str">
        <f>IF(AND(ROW()-1&lt;=教室申込!$K$5,教室申込!$K$7=0,COUNTA(教室申込!$C$4)=1),INDEX(展開用!$F$2:$F$601,MATCH(ROW()-1,展開用!$E$2:$E$601,0)),"")</f>
        <v/>
      </c>
      <c r="V348" s="11"/>
      <c r="W348" s="11"/>
      <c r="X348" s="11"/>
      <c r="Y348" s="11"/>
      <c r="Z348" s="11"/>
      <c r="AA348" s="11" t="str">
        <f>IF($AW348="","",IF(INDEX(教室申込!$J$1:$J$212,$AW348)="","",INDEX(教室申込!$J$1:$J$212,$AW348)))</f>
        <v/>
      </c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" t="str">
        <f>IF(AND(ROW()-1&lt;=教室申込!$K$5,教室申込!$K$7=0,COUNTA(教室申込!$C$4)=1),INDEX(展開用!$B$2:$B$601,MATCH(ROW()-1,展開用!$E$2:$E$601,0)),"")</f>
        <v/>
      </c>
      <c r="AX348" s="1"/>
      <c r="AY348" s="1"/>
    </row>
    <row r="349" spans="1:51" ht="24" customHeight="1">
      <c r="A349" s="11"/>
      <c r="B349" s="11"/>
      <c r="C349" s="11"/>
      <c r="D349" s="11"/>
      <c r="E349" s="11"/>
      <c r="F349" s="11"/>
      <c r="G349" s="11"/>
      <c r="H349" s="11" t="str">
        <f>IF(AND(ROW()-1&lt;=教室申込!$K$5,教室申込!$K$7=0,COUNTA(教室申込!$C$4)=1),INDEX(展開用!$C$2:$C$601,MATCH(ROW()-1,展開用!$E$2:$E$601,0)),"")</f>
        <v/>
      </c>
      <c r="I349" s="11" t="str">
        <f>IF(AND(ROW()-1&lt;=教室申込!$K$5,教室申込!$K$7=0,COUNTA(教室申込!$C$4)=1),INDEX(展開用!$D$2:$D$601,MATCH(ROW()-1,展開用!$E$2:$E$601,0)),"")</f>
        <v/>
      </c>
      <c r="J349" s="11"/>
      <c r="K349" s="11"/>
      <c r="L349" s="11" t="str">
        <f>IF(AND(ROW()-1&lt;=教室申込!$K$5,教室申込!$K$7=0,COUNTA(教室申込!$C$4)=1),INDEX(教室申込!$B$1:$B$212,$AW349),"")</f>
        <v/>
      </c>
      <c r="M349" s="11" t="str">
        <f>IF(AND(ROW()-1&lt;=教室申込!$K$5,教室申込!$K$7=0,COUNTA(教室申込!$C$4)=1),INDEX(教室申込!$C$1:$C$212,$AW349),"")</f>
        <v/>
      </c>
      <c r="N349" s="11"/>
      <c r="O349" s="12" t="str">
        <f>IF(AND(ROW()-1&lt;=教室申込!$K$5,教室申込!$K$7=0,COUNTA(教室申込!$C$4)=1),INDEX(展開用!$G$2:$G$601,MATCH(ROW()-1,展開用!$E$2:$E$601,0)),"")</f>
        <v/>
      </c>
      <c r="P349" s="11"/>
      <c r="Q349" s="11"/>
      <c r="R349" s="11"/>
      <c r="S349" s="11"/>
      <c r="T349" s="11"/>
      <c r="U349" s="11" t="str">
        <f>IF(AND(ROW()-1&lt;=教室申込!$K$5,教室申込!$K$7=0,COUNTA(教室申込!$C$4)=1),INDEX(展開用!$F$2:$F$601,MATCH(ROW()-1,展開用!$E$2:$E$601,0)),"")</f>
        <v/>
      </c>
      <c r="V349" s="11"/>
      <c r="W349" s="11"/>
      <c r="X349" s="11"/>
      <c r="Y349" s="11"/>
      <c r="Z349" s="11"/>
      <c r="AA349" s="11" t="str">
        <f>IF($AW349="","",IF(INDEX(教室申込!$J$1:$J$212,$AW349)="","",INDEX(教室申込!$J$1:$J$212,$AW349)))</f>
        <v/>
      </c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" t="str">
        <f>IF(AND(ROW()-1&lt;=教室申込!$K$5,教室申込!$K$7=0,COUNTA(教室申込!$C$4)=1),INDEX(展開用!$B$2:$B$601,MATCH(ROW()-1,展開用!$E$2:$E$601,0)),"")</f>
        <v/>
      </c>
      <c r="AX349" s="1"/>
      <c r="AY349" s="1"/>
    </row>
    <row r="350" spans="1:51" ht="24" customHeight="1">
      <c r="A350" s="11"/>
      <c r="B350" s="11"/>
      <c r="C350" s="11"/>
      <c r="D350" s="11"/>
      <c r="E350" s="11"/>
      <c r="F350" s="11"/>
      <c r="G350" s="11"/>
      <c r="H350" s="11" t="str">
        <f>IF(AND(ROW()-1&lt;=教室申込!$K$5,教室申込!$K$7=0,COUNTA(教室申込!$C$4)=1),INDEX(展開用!$C$2:$C$601,MATCH(ROW()-1,展開用!$E$2:$E$601,0)),"")</f>
        <v/>
      </c>
      <c r="I350" s="11" t="str">
        <f>IF(AND(ROW()-1&lt;=教室申込!$K$5,教室申込!$K$7=0,COUNTA(教室申込!$C$4)=1),INDEX(展開用!$D$2:$D$601,MATCH(ROW()-1,展開用!$E$2:$E$601,0)),"")</f>
        <v/>
      </c>
      <c r="J350" s="11"/>
      <c r="K350" s="11"/>
      <c r="L350" s="11" t="str">
        <f>IF(AND(ROW()-1&lt;=教室申込!$K$5,教室申込!$K$7=0,COUNTA(教室申込!$C$4)=1),INDEX(教室申込!$B$1:$B$212,$AW350),"")</f>
        <v/>
      </c>
      <c r="M350" s="11" t="str">
        <f>IF(AND(ROW()-1&lt;=教室申込!$K$5,教室申込!$K$7=0,COUNTA(教室申込!$C$4)=1),INDEX(教室申込!$C$1:$C$212,$AW350),"")</f>
        <v/>
      </c>
      <c r="N350" s="11"/>
      <c r="O350" s="12" t="str">
        <f>IF(AND(ROW()-1&lt;=教室申込!$K$5,教室申込!$K$7=0,COUNTA(教室申込!$C$4)=1),INDEX(展開用!$G$2:$G$601,MATCH(ROW()-1,展開用!$E$2:$E$601,0)),"")</f>
        <v/>
      </c>
      <c r="P350" s="11"/>
      <c r="Q350" s="11"/>
      <c r="R350" s="11"/>
      <c r="S350" s="11"/>
      <c r="T350" s="11"/>
      <c r="U350" s="11" t="str">
        <f>IF(AND(ROW()-1&lt;=教室申込!$K$5,教室申込!$K$7=0,COUNTA(教室申込!$C$4)=1),INDEX(展開用!$F$2:$F$601,MATCH(ROW()-1,展開用!$E$2:$E$601,0)),"")</f>
        <v/>
      </c>
      <c r="V350" s="11"/>
      <c r="W350" s="11"/>
      <c r="X350" s="11"/>
      <c r="Y350" s="11"/>
      <c r="Z350" s="11"/>
      <c r="AA350" s="11" t="str">
        <f>IF($AW350="","",IF(INDEX(教室申込!$J$1:$J$212,$AW350)="","",INDEX(教室申込!$J$1:$J$212,$AW350)))</f>
        <v/>
      </c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" t="str">
        <f>IF(AND(ROW()-1&lt;=教室申込!$K$5,教室申込!$K$7=0,COUNTA(教室申込!$C$4)=1),INDEX(展開用!$B$2:$B$601,MATCH(ROW()-1,展開用!$E$2:$E$601,0)),"")</f>
        <v/>
      </c>
      <c r="AX350" s="1"/>
      <c r="AY350" s="1"/>
    </row>
    <row r="351" spans="1:51" ht="24" customHeight="1">
      <c r="A351" s="11"/>
      <c r="B351" s="11"/>
      <c r="C351" s="11"/>
      <c r="D351" s="11"/>
      <c r="E351" s="11"/>
      <c r="F351" s="11"/>
      <c r="G351" s="11"/>
      <c r="H351" s="11" t="str">
        <f>IF(AND(ROW()-1&lt;=教室申込!$K$5,教室申込!$K$7=0,COUNTA(教室申込!$C$4)=1),INDEX(展開用!$C$2:$C$601,MATCH(ROW()-1,展開用!$E$2:$E$601,0)),"")</f>
        <v/>
      </c>
      <c r="I351" s="11" t="str">
        <f>IF(AND(ROW()-1&lt;=教室申込!$K$5,教室申込!$K$7=0,COUNTA(教室申込!$C$4)=1),INDEX(展開用!$D$2:$D$601,MATCH(ROW()-1,展開用!$E$2:$E$601,0)),"")</f>
        <v/>
      </c>
      <c r="J351" s="11"/>
      <c r="K351" s="11"/>
      <c r="L351" s="11" t="str">
        <f>IF(AND(ROW()-1&lt;=教室申込!$K$5,教室申込!$K$7=0,COUNTA(教室申込!$C$4)=1),INDEX(教室申込!$B$1:$B$212,$AW351),"")</f>
        <v/>
      </c>
      <c r="M351" s="11" t="str">
        <f>IF(AND(ROW()-1&lt;=教室申込!$K$5,教室申込!$K$7=0,COUNTA(教室申込!$C$4)=1),INDEX(教室申込!$C$1:$C$212,$AW351),"")</f>
        <v/>
      </c>
      <c r="N351" s="11"/>
      <c r="O351" s="12" t="str">
        <f>IF(AND(ROW()-1&lt;=教室申込!$K$5,教室申込!$K$7=0,COUNTA(教室申込!$C$4)=1),INDEX(展開用!$G$2:$G$601,MATCH(ROW()-1,展開用!$E$2:$E$601,0)),"")</f>
        <v/>
      </c>
      <c r="P351" s="11"/>
      <c r="Q351" s="11"/>
      <c r="R351" s="11"/>
      <c r="S351" s="11"/>
      <c r="T351" s="11"/>
      <c r="U351" s="11" t="str">
        <f>IF(AND(ROW()-1&lt;=教室申込!$K$5,教室申込!$K$7=0,COUNTA(教室申込!$C$4)=1),INDEX(展開用!$F$2:$F$601,MATCH(ROW()-1,展開用!$E$2:$E$601,0)),"")</f>
        <v/>
      </c>
      <c r="V351" s="11"/>
      <c r="W351" s="11"/>
      <c r="X351" s="11"/>
      <c r="Y351" s="11"/>
      <c r="Z351" s="11"/>
      <c r="AA351" s="11" t="str">
        <f>IF($AW351="","",IF(INDEX(教室申込!$J$1:$J$212,$AW351)="","",INDEX(教室申込!$J$1:$J$212,$AW351)))</f>
        <v/>
      </c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" t="str">
        <f>IF(AND(ROW()-1&lt;=教室申込!$K$5,教室申込!$K$7=0,COUNTA(教室申込!$C$4)=1),INDEX(展開用!$B$2:$B$601,MATCH(ROW()-1,展開用!$E$2:$E$601,0)),"")</f>
        <v/>
      </c>
      <c r="AX351" s="1"/>
      <c r="AY351" s="1"/>
    </row>
    <row r="352" spans="1:51" ht="24" customHeight="1">
      <c r="A352" s="11"/>
      <c r="B352" s="11"/>
      <c r="C352" s="11"/>
      <c r="D352" s="11"/>
      <c r="E352" s="11"/>
      <c r="F352" s="11"/>
      <c r="G352" s="11"/>
      <c r="H352" s="11" t="str">
        <f>IF(AND(ROW()-1&lt;=教室申込!$K$5,教室申込!$K$7=0,COUNTA(教室申込!$C$4)=1),INDEX(展開用!$C$2:$C$601,MATCH(ROW()-1,展開用!$E$2:$E$601,0)),"")</f>
        <v/>
      </c>
      <c r="I352" s="11" t="str">
        <f>IF(AND(ROW()-1&lt;=教室申込!$K$5,教室申込!$K$7=0,COUNTA(教室申込!$C$4)=1),INDEX(展開用!$D$2:$D$601,MATCH(ROW()-1,展開用!$E$2:$E$601,0)),"")</f>
        <v/>
      </c>
      <c r="J352" s="11"/>
      <c r="K352" s="11"/>
      <c r="L352" s="11" t="str">
        <f>IF(AND(ROW()-1&lt;=教室申込!$K$5,教室申込!$K$7=0,COUNTA(教室申込!$C$4)=1),INDEX(教室申込!$B$1:$B$212,$AW352),"")</f>
        <v/>
      </c>
      <c r="M352" s="11" t="str">
        <f>IF(AND(ROW()-1&lt;=教室申込!$K$5,教室申込!$K$7=0,COUNTA(教室申込!$C$4)=1),INDEX(教室申込!$C$1:$C$212,$AW352),"")</f>
        <v/>
      </c>
      <c r="N352" s="11"/>
      <c r="O352" s="12" t="str">
        <f>IF(AND(ROW()-1&lt;=教室申込!$K$5,教室申込!$K$7=0,COUNTA(教室申込!$C$4)=1),INDEX(展開用!$G$2:$G$601,MATCH(ROW()-1,展開用!$E$2:$E$601,0)),"")</f>
        <v/>
      </c>
      <c r="P352" s="11"/>
      <c r="Q352" s="11"/>
      <c r="R352" s="11"/>
      <c r="S352" s="11"/>
      <c r="T352" s="11"/>
      <c r="U352" s="11" t="str">
        <f>IF(AND(ROW()-1&lt;=教室申込!$K$5,教室申込!$K$7=0,COUNTA(教室申込!$C$4)=1),INDEX(展開用!$F$2:$F$601,MATCH(ROW()-1,展開用!$E$2:$E$601,0)),"")</f>
        <v/>
      </c>
      <c r="V352" s="11"/>
      <c r="W352" s="11"/>
      <c r="X352" s="11"/>
      <c r="Y352" s="11"/>
      <c r="Z352" s="11"/>
      <c r="AA352" s="11" t="str">
        <f>IF($AW352="","",IF(INDEX(教室申込!$J$1:$J$212,$AW352)="","",INDEX(教室申込!$J$1:$J$212,$AW352)))</f>
        <v/>
      </c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" t="str">
        <f>IF(AND(ROW()-1&lt;=教室申込!$K$5,教室申込!$K$7=0,COUNTA(教室申込!$C$4)=1),INDEX(展開用!$B$2:$B$601,MATCH(ROW()-1,展開用!$E$2:$E$601,0)),"")</f>
        <v/>
      </c>
      <c r="AX352" s="1"/>
      <c r="AY352" s="1"/>
    </row>
    <row r="353" spans="1:51" ht="24" customHeight="1">
      <c r="A353" s="11"/>
      <c r="B353" s="11"/>
      <c r="C353" s="11"/>
      <c r="D353" s="11"/>
      <c r="E353" s="11"/>
      <c r="F353" s="11"/>
      <c r="G353" s="11"/>
      <c r="H353" s="11" t="str">
        <f>IF(AND(ROW()-1&lt;=教室申込!$K$5,教室申込!$K$7=0,COUNTA(教室申込!$C$4)=1),INDEX(展開用!$C$2:$C$601,MATCH(ROW()-1,展開用!$E$2:$E$601,0)),"")</f>
        <v/>
      </c>
      <c r="I353" s="11" t="str">
        <f>IF(AND(ROW()-1&lt;=教室申込!$K$5,教室申込!$K$7=0,COUNTA(教室申込!$C$4)=1),INDEX(展開用!$D$2:$D$601,MATCH(ROW()-1,展開用!$E$2:$E$601,0)),"")</f>
        <v/>
      </c>
      <c r="J353" s="11"/>
      <c r="K353" s="11"/>
      <c r="L353" s="11" t="str">
        <f>IF(AND(ROW()-1&lt;=教室申込!$K$5,教室申込!$K$7=0,COUNTA(教室申込!$C$4)=1),INDEX(教室申込!$B$1:$B$212,$AW353),"")</f>
        <v/>
      </c>
      <c r="M353" s="11" t="str">
        <f>IF(AND(ROW()-1&lt;=教室申込!$K$5,教室申込!$K$7=0,COUNTA(教室申込!$C$4)=1),INDEX(教室申込!$C$1:$C$212,$AW353),"")</f>
        <v/>
      </c>
      <c r="N353" s="11"/>
      <c r="O353" s="12" t="str">
        <f>IF(AND(ROW()-1&lt;=教室申込!$K$5,教室申込!$K$7=0,COUNTA(教室申込!$C$4)=1),INDEX(展開用!$G$2:$G$601,MATCH(ROW()-1,展開用!$E$2:$E$601,0)),"")</f>
        <v/>
      </c>
      <c r="P353" s="11"/>
      <c r="Q353" s="11"/>
      <c r="R353" s="11"/>
      <c r="S353" s="11"/>
      <c r="T353" s="11"/>
      <c r="U353" s="11" t="str">
        <f>IF(AND(ROW()-1&lt;=教室申込!$K$5,教室申込!$K$7=0,COUNTA(教室申込!$C$4)=1),INDEX(展開用!$F$2:$F$601,MATCH(ROW()-1,展開用!$E$2:$E$601,0)),"")</f>
        <v/>
      </c>
      <c r="V353" s="11"/>
      <c r="W353" s="11"/>
      <c r="X353" s="11"/>
      <c r="Y353" s="11"/>
      <c r="Z353" s="11"/>
      <c r="AA353" s="11" t="str">
        <f>IF($AW353="","",IF(INDEX(教室申込!$J$1:$J$212,$AW353)="","",INDEX(教室申込!$J$1:$J$212,$AW353)))</f>
        <v/>
      </c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" t="str">
        <f>IF(AND(ROW()-1&lt;=教室申込!$K$5,教室申込!$K$7=0,COUNTA(教室申込!$C$4)=1),INDEX(展開用!$B$2:$B$601,MATCH(ROW()-1,展開用!$E$2:$E$601,0)),"")</f>
        <v/>
      </c>
      <c r="AX353" s="1"/>
      <c r="AY353" s="1"/>
    </row>
    <row r="354" spans="1:51" ht="24" customHeight="1">
      <c r="A354" s="11"/>
      <c r="B354" s="11"/>
      <c r="C354" s="11"/>
      <c r="D354" s="11"/>
      <c r="E354" s="11"/>
      <c r="F354" s="11"/>
      <c r="G354" s="11"/>
      <c r="H354" s="11" t="str">
        <f>IF(AND(ROW()-1&lt;=教室申込!$K$5,教室申込!$K$7=0,COUNTA(教室申込!$C$4)=1),INDEX(展開用!$C$2:$C$601,MATCH(ROW()-1,展開用!$E$2:$E$601,0)),"")</f>
        <v/>
      </c>
      <c r="I354" s="11" t="str">
        <f>IF(AND(ROW()-1&lt;=教室申込!$K$5,教室申込!$K$7=0,COUNTA(教室申込!$C$4)=1),INDEX(展開用!$D$2:$D$601,MATCH(ROW()-1,展開用!$E$2:$E$601,0)),"")</f>
        <v/>
      </c>
      <c r="J354" s="11"/>
      <c r="K354" s="11"/>
      <c r="L354" s="11" t="str">
        <f>IF(AND(ROW()-1&lt;=教室申込!$K$5,教室申込!$K$7=0,COUNTA(教室申込!$C$4)=1),INDEX(教室申込!$B$1:$B$212,$AW354),"")</f>
        <v/>
      </c>
      <c r="M354" s="11" t="str">
        <f>IF(AND(ROW()-1&lt;=教室申込!$K$5,教室申込!$K$7=0,COUNTA(教室申込!$C$4)=1),INDEX(教室申込!$C$1:$C$212,$AW354),"")</f>
        <v/>
      </c>
      <c r="N354" s="11"/>
      <c r="O354" s="12" t="str">
        <f>IF(AND(ROW()-1&lt;=教室申込!$K$5,教室申込!$K$7=0,COUNTA(教室申込!$C$4)=1),INDEX(展開用!$G$2:$G$601,MATCH(ROW()-1,展開用!$E$2:$E$601,0)),"")</f>
        <v/>
      </c>
      <c r="P354" s="11"/>
      <c r="Q354" s="11"/>
      <c r="R354" s="11"/>
      <c r="S354" s="11"/>
      <c r="T354" s="11"/>
      <c r="U354" s="11" t="str">
        <f>IF(AND(ROW()-1&lt;=教室申込!$K$5,教室申込!$K$7=0,COUNTA(教室申込!$C$4)=1),INDEX(展開用!$F$2:$F$601,MATCH(ROW()-1,展開用!$E$2:$E$601,0)),"")</f>
        <v/>
      </c>
      <c r="V354" s="11"/>
      <c r="W354" s="11"/>
      <c r="X354" s="11"/>
      <c r="Y354" s="11"/>
      <c r="Z354" s="11"/>
      <c r="AA354" s="11" t="str">
        <f>IF($AW354="","",IF(INDEX(教室申込!$J$1:$J$212,$AW354)="","",INDEX(教室申込!$J$1:$J$212,$AW354)))</f>
        <v/>
      </c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" t="str">
        <f>IF(AND(ROW()-1&lt;=教室申込!$K$5,教室申込!$K$7=0,COUNTA(教室申込!$C$4)=1),INDEX(展開用!$B$2:$B$601,MATCH(ROW()-1,展開用!$E$2:$E$601,0)),"")</f>
        <v/>
      </c>
      <c r="AX354" s="1"/>
      <c r="AY354" s="1"/>
    </row>
    <row r="355" spans="1:51" ht="24" customHeight="1">
      <c r="A355" s="11"/>
      <c r="B355" s="11"/>
      <c r="C355" s="11"/>
      <c r="D355" s="11"/>
      <c r="E355" s="11"/>
      <c r="F355" s="11"/>
      <c r="G355" s="11"/>
      <c r="H355" s="11" t="str">
        <f>IF(AND(ROW()-1&lt;=教室申込!$K$5,教室申込!$K$7=0,COUNTA(教室申込!$C$4)=1),INDEX(展開用!$C$2:$C$601,MATCH(ROW()-1,展開用!$E$2:$E$601,0)),"")</f>
        <v/>
      </c>
      <c r="I355" s="11" t="str">
        <f>IF(AND(ROW()-1&lt;=教室申込!$K$5,教室申込!$K$7=0,COUNTA(教室申込!$C$4)=1),INDEX(展開用!$D$2:$D$601,MATCH(ROW()-1,展開用!$E$2:$E$601,0)),"")</f>
        <v/>
      </c>
      <c r="J355" s="11"/>
      <c r="K355" s="11"/>
      <c r="L355" s="11" t="str">
        <f>IF(AND(ROW()-1&lt;=教室申込!$K$5,教室申込!$K$7=0,COUNTA(教室申込!$C$4)=1),INDEX(教室申込!$B$1:$B$212,$AW355),"")</f>
        <v/>
      </c>
      <c r="M355" s="11" t="str">
        <f>IF(AND(ROW()-1&lt;=教室申込!$K$5,教室申込!$K$7=0,COUNTA(教室申込!$C$4)=1),INDEX(教室申込!$C$1:$C$212,$AW355),"")</f>
        <v/>
      </c>
      <c r="N355" s="11"/>
      <c r="O355" s="12" t="str">
        <f>IF(AND(ROW()-1&lt;=教室申込!$K$5,教室申込!$K$7=0,COUNTA(教室申込!$C$4)=1),INDEX(展開用!$G$2:$G$601,MATCH(ROW()-1,展開用!$E$2:$E$601,0)),"")</f>
        <v/>
      </c>
      <c r="P355" s="11"/>
      <c r="Q355" s="11"/>
      <c r="R355" s="11"/>
      <c r="S355" s="11"/>
      <c r="T355" s="11"/>
      <c r="U355" s="11" t="str">
        <f>IF(AND(ROW()-1&lt;=教室申込!$K$5,教室申込!$K$7=0,COUNTA(教室申込!$C$4)=1),INDEX(展開用!$F$2:$F$601,MATCH(ROW()-1,展開用!$E$2:$E$601,0)),"")</f>
        <v/>
      </c>
      <c r="V355" s="11"/>
      <c r="W355" s="11"/>
      <c r="X355" s="11"/>
      <c r="Y355" s="11"/>
      <c r="Z355" s="11"/>
      <c r="AA355" s="11" t="str">
        <f>IF($AW355="","",IF(INDEX(教室申込!$J$1:$J$212,$AW355)="","",INDEX(教室申込!$J$1:$J$212,$AW355)))</f>
        <v/>
      </c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" t="str">
        <f>IF(AND(ROW()-1&lt;=教室申込!$K$5,教室申込!$K$7=0,COUNTA(教室申込!$C$4)=1),INDEX(展開用!$B$2:$B$601,MATCH(ROW()-1,展開用!$E$2:$E$601,0)),"")</f>
        <v/>
      </c>
      <c r="AX355" s="1"/>
      <c r="AY355" s="1"/>
    </row>
    <row r="356" spans="1:51" ht="24" customHeight="1">
      <c r="A356" s="11"/>
      <c r="B356" s="11"/>
      <c r="C356" s="11"/>
      <c r="D356" s="11"/>
      <c r="E356" s="11"/>
      <c r="F356" s="11"/>
      <c r="G356" s="11"/>
      <c r="H356" s="11" t="str">
        <f>IF(AND(ROW()-1&lt;=教室申込!$K$5,教室申込!$K$7=0,COUNTA(教室申込!$C$4)=1),INDEX(展開用!$C$2:$C$601,MATCH(ROW()-1,展開用!$E$2:$E$601,0)),"")</f>
        <v/>
      </c>
      <c r="I356" s="11" t="str">
        <f>IF(AND(ROW()-1&lt;=教室申込!$K$5,教室申込!$K$7=0,COUNTA(教室申込!$C$4)=1),INDEX(展開用!$D$2:$D$601,MATCH(ROW()-1,展開用!$E$2:$E$601,0)),"")</f>
        <v/>
      </c>
      <c r="J356" s="11"/>
      <c r="K356" s="11"/>
      <c r="L356" s="11" t="str">
        <f>IF(AND(ROW()-1&lt;=教室申込!$K$5,教室申込!$K$7=0,COUNTA(教室申込!$C$4)=1),INDEX(教室申込!$B$1:$B$212,$AW356),"")</f>
        <v/>
      </c>
      <c r="M356" s="11" t="str">
        <f>IF(AND(ROW()-1&lt;=教室申込!$K$5,教室申込!$K$7=0,COUNTA(教室申込!$C$4)=1),INDEX(教室申込!$C$1:$C$212,$AW356),"")</f>
        <v/>
      </c>
      <c r="N356" s="11"/>
      <c r="O356" s="12" t="str">
        <f>IF(AND(ROW()-1&lt;=教室申込!$K$5,教室申込!$K$7=0,COUNTA(教室申込!$C$4)=1),INDEX(展開用!$G$2:$G$601,MATCH(ROW()-1,展開用!$E$2:$E$601,0)),"")</f>
        <v/>
      </c>
      <c r="P356" s="11"/>
      <c r="Q356" s="11"/>
      <c r="R356" s="11"/>
      <c r="S356" s="11"/>
      <c r="T356" s="11"/>
      <c r="U356" s="11" t="str">
        <f>IF(AND(ROW()-1&lt;=教室申込!$K$5,教室申込!$K$7=0,COUNTA(教室申込!$C$4)=1),INDEX(展開用!$F$2:$F$601,MATCH(ROW()-1,展開用!$E$2:$E$601,0)),"")</f>
        <v/>
      </c>
      <c r="V356" s="11"/>
      <c r="W356" s="11"/>
      <c r="X356" s="11"/>
      <c r="Y356" s="11"/>
      <c r="Z356" s="11"/>
      <c r="AA356" s="11" t="str">
        <f>IF($AW356="","",IF(INDEX(教室申込!$J$1:$J$212,$AW356)="","",INDEX(教室申込!$J$1:$J$212,$AW356)))</f>
        <v/>
      </c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" t="str">
        <f>IF(AND(ROW()-1&lt;=教室申込!$K$5,教室申込!$K$7=0,COUNTA(教室申込!$C$4)=1),INDEX(展開用!$B$2:$B$601,MATCH(ROW()-1,展開用!$E$2:$E$601,0)),"")</f>
        <v/>
      </c>
      <c r="AX356" s="1"/>
      <c r="AY356" s="1"/>
    </row>
    <row r="357" spans="1:51" ht="24" customHeight="1">
      <c r="A357" s="11"/>
      <c r="B357" s="11"/>
      <c r="C357" s="11"/>
      <c r="D357" s="11"/>
      <c r="E357" s="11"/>
      <c r="F357" s="11"/>
      <c r="G357" s="11"/>
      <c r="H357" s="11" t="str">
        <f>IF(AND(ROW()-1&lt;=教室申込!$K$5,教室申込!$K$7=0,COUNTA(教室申込!$C$4)=1),INDEX(展開用!$C$2:$C$601,MATCH(ROW()-1,展開用!$E$2:$E$601,0)),"")</f>
        <v/>
      </c>
      <c r="I357" s="11" t="str">
        <f>IF(AND(ROW()-1&lt;=教室申込!$K$5,教室申込!$K$7=0,COUNTA(教室申込!$C$4)=1),INDEX(展開用!$D$2:$D$601,MATCH(ROW()-1,展開用!$E$2:$E$601,0)),"")</f>
        <v/>
      </c>
      <c r="J357" s="11"/>
      <c r="K357" s="11"/>
      <c r="L357" s="11" t="str">
        <f>IF(AND(ROW()-1&lt;=教室申込!$K$5,教室申込!$K$7=0,COUNTA(教室申込!$C$4)=1),INDEX(教室申込!$B$1:$B$212,$AW357),"")</f>
        <v/>
      </c>
      <c r="M357" s="11" t="str">
        <f>IF(AND(ROW()-1&lt;=教室申込!$K$5,教室申込!$K$7=0,COUNTA(教室申込!$C$4)=1),INDEX(教室申込!$C$1:$C$212,$AW357),"")</f>
        <v/>
      </c>
      <c r="N357" s="11"/>
      <c r="O357" s="12" t="str">
        <f>IF(AND(ROW()-1&lt;=教室申込!$K$5,教室申込!$K$7=0,COUNTA(教室申込!$C$4)=1),INDEX(展開用!$G$2:$G$601,MATCH(ROW()-1,展開用!$E$2:$E$601,0)),"")</f>
        <v/>
      </c>
      <c r="P357" s="11"/>
      <c r="Q357" s="11"/>
      <c r="R357" s="11"/>
      <c r="S357" s="11"/>
      <c r="T357" s="11"/>
      <c r="U357" s="11" t="str">
        <f>IF(AND(ROW()-1&lt;=教室申込!$K$5,教室申込!$K$7=0,COUNTA(教室申込!$C$4)=1),INDEX(展開用!$F$2:$F$601,MATCH(ROW()-1,展開用!$E$2:$E$601,0)),"")</f>
        <v/>
      </c>
      <c r="V357" s="11"/>
      <c r="W357" s="11"/>
      <c r="X357" s="11"/>
      <c r="Y357" s="11"/>
      <c r="Z357" s="11"/>
      <c r="AA357" s="11" t="str">
        <f>IF($AW357="","",IF(INDEX(教室申込!$J$1:$J$212,$AW357)="","",INDEX(教室申込!$J$1:$J$212,$AW357)))</f>
        <v/>
      </c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" t="str">
        <f>IF(AND(ROW()-1&lt;=教室申込!$K$5,教室申込!$K$7=0,COUNTA(教室申込!$C$4)=1),INDEX(展開用!$B$2:$B$601,MATCH(ROW()-1,展開用!$E$2:$E$601,0)),"")</f>
        <v/>
      </c>
      <c r="AX357" s="1"/>
      <c r="AY357" s="1"/>
    </row>
    <row r="358" spans="1:51" ht="24" customHeight="1">
      <c r="A358" s="11"/>
      <c r="B358" s="11"/>
      <c r="C358" s="11"/>
      <c r="D358" s="11"/>
      <c r="E358" s="11"/>
      <c r="F358" s="11"/>
      <c r="G358" s="11"/>
      <c r="H358" s="11" t="str">
        <f>IF(AND(ROW()-1&lt;=教室申込!$K$5,教室申込!$K$7=0,COUNTA(教室申込!$C$4)=1),INDEX(展開用!$C$2:$C$601,MATCH(ROW()-1,展開用!$E$2:$E$601,0)),"")</f>
        <v/>
      </c>
      <c r="I358" s="11" t="str">
        <f>IF(AND(ROW()-1&lt;=教室申込!$K$5,教室申込!$K$7=0,COUNTA(教室申込!$C$4)=1),INDEX(展開用!$D$2:$D$601,MATCH(ROW()-1,展開用!$E$2:$E$601,0)),"")</f>
        <v/>
      </c>
      <c r="J358" s="11"/>
      <c r="K358" s="11"/>
      <c r="L358" s="11" t="str">
        <f>IF(AND(ROW()-1&lt;=教室申込!$K$5,教室申込!$K$7=0,COUNTA(教室申込!$C$4)=1),INDEX(教室申込!$B$1:$B$212,$AW358),"")</f>
        <v/>
      </c>
      <c r="M358" s="11" t="str">
        <f>IF(AND(ROW()-1&lt;=教室申込!$K$5,教室申込!$K$7=0,COUNTA(教室申込!$C$4)=1),INDEX(教室申込!$C$1:$C$212,$AW358),"")</f>
        <v/>
      </c>
      <c r="N358" s="11"/>
      <c r="O358" s="12" t="str">
        <f>IF(AND(ROW()-1&lt;=教室申込!$K$5,教室申込!$K$7=0,COUNTA(教室申込!$C$4)=1),INDEX(展開用!$G$2:$G$601,MATCH(ROW()-1,展開用!$E$2:$E$601,0)),"")</f>
        <v/>
      </c>
      <c r="P358" s="11"/>
      <c r="Q358" s="11"/>
      <c r="R358" s="11"/>
      <c r="S358" s="11"/>
      <c r="T358" s="11"/>
      <c r="U358" s="11" t="str">
        <f>IF(AND(ROW()-1&lt;=教室申込!$K$5,教室申込!$K$7=0,COUNTA(教室申込!$C$4)=1),INDEX(展開用!$F$2:$F$601,MATCH(ROW()-1,展開用!$E$2:$E$601,0)),"")</f>
        <v/>
      </c>
      <c r="V358" s="11"/>
      <c r="W358" s="11"/>
      <c r="X358" s="11"/>
      <c r="Y358" s="11"/>
      <c r="Z358" s="11"/>
      <c r="AA358" s="11" t="str">
        <f>IF($AW358="","",IF(INDEX(教室申込!$J$1:$J$212,$AW358)="","",INDEX(教室申込!$J$1:$J$212,$AW358)))</f>
        <v/>
      </c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" t="str">
        <f>IF(AND(ROW()-1&lt;=教室申込!$K$5,教室申込!$K$7=0,COUNTA(教室申込!$C$4)=1),INDEX(展開用!$B$2:$B$601,MATCH(ROW()-1,展開用!$E$2:$E$601,0)),"")</f>
        <v/>
      </c>
      <c r="AX358" s="1"/>
      <c r="AY358" s="1"/>
    </row>
    <row r="359" spans="1:51" ht="24" customHeight="1">
      <c r="A359" s="11"/>
      <c r="B359" s="11"/>
      <c r="C359" s="11"/>
      <c r="D359" s="11"/>
      <c r="E359" s="11"/>
      <c r="F359" s="11"/>
      <c r="G359" s="11"/>
      <c r="H359" s="11" t="str">
        <f>IF(AND(ROW()-1&lt;=教室申込!$K$5,教室申込!$K$7=0,COUNTA(教室申込!$C$4)=1),INDEX(展開用!$C$2:$C$601,MATCH(ROW()-1,展開用!$E$2:$E$601,0)),"")</f>
        <v/>
      </c>
      <c r="I359" s="11" t="str">
        <f>IF(AND(ROW()-1&lt;=教室申込!$K$5,教室申込!$K$7=0,COUNTA(教室申込!$C$4)=1),INDEX(展開用!$D$2:$D$601,MATCH(ROW()-1,展開用!$E$2:$E$601,0)),"")</f>
        <v/>
      </c>
      <c r="J359" s="11"/>
      <c r="K359" s="11"/>
      <c r="L359" s="11" t="str">
        <f>IF(AND(ROW()-1&lt;=教室申込!$K$5,教室申込!$K$7=0,COUNTA(教室申込!$C$4)=1),INDEX(教室申込!$B$1:$B$212,$AW359),"")</f>
        <v/>
      </c>
      <c r="M359" s="11" t="str">
        <f>IF(AND(ROW()-1&lt;=教室申込!$K$5,教室申込!$K$7=0,COUNTA(教室申込!$C$4)=1),INDEX(教室申込!$C$1:$C$212,$AW359),"")</f>
        <v/>
      </c>
      <c r="N359" s="11"/>
      <c r="O359" s="12" t="str">
        <f>IF(AND(ROW()-1&lt;=教室申込!$K$5,教室申込!$K$7=0,COUNTA(教室申込!$C$4)=1),INDEX(展開用!$G$2:$G$601,MATCH(ROW()-1,展開用!$E$2:$E$601,0)),"")</f>
        <v/>
      </c>
      <c r="P359" s="11"/>
      <c r="Q359" s="11"/>
      <c r="R359" s="11"/>
      <c r="S359" s="11"/>
      <c r="T359" s="11"/>
      <c r="U359" s="11" t="str">
        <f>IF(AND(ROW()-1&lt;=教室申込!$K$5,教室申込!$K$7=0,COUNTA(教室申込!$C$4)=1),INDEX(展開用!$F$2:$F$601,MATCH(ROW()-1,展開用!$E$2:$E$601,0)),"")</f>
        <v/>
      </c>
      <c r="V359" s="11"/>
      <c r="W359" s="11"/>
      <c r="X359" s="11"/>
      <c r="Y359" s="11"/>
      <c r="Z359" s="11"/>
      <c r="AA359" s="11" t="str">
        <f>IF($AW359="","",IF(INDEX(教室申込!$J$1:$J$212,$AW359)="","",INDEX(教室申込!$J$1:$J$212,$AW359)))</f>
        <v/>
      </c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" t="str">
        <f>IF(AND(ROW()-1&lt;=教室申込!$K$5,教室申込!$K$7=0,COUNTA(教室申込!$C$4)=1),INDEX(展開用!$B$2:$B$601,MATCH(ROW()-1,展開用!$E$2:$E$601,0)),"")</f>
        <v/>
      </c>
      <c r="AX359" s="1"/>
      <c r="AY359" s="1"/>
    </row>
    <row r="360" spans="1:51" ht="24" customHeight="1">
      <c r="A360" s="11"/>
      <c r="B360" s="11"/>
      <c r="C360" s="11"/>
      <c r="D360" s="11"/>
      <c r="E360" s="11"/>
      <c r="F360" s="11"/>
      <c r="G360" s="11"/>
      <c r="H360" s="11" t="str">
        <f>IF(AND(ROW()-1&lt;=教室申込!$K$5,教室申込!$K$7=0,COUNTA(教室申込!$C$4)=1),INDEX(展開用!$C$2:$C$601,MATCH(ROW()-1,展開用!$E$2:$E$601,0)),"")</f>
        <v/>
      </c>
      <c r="I360" s="11" t="str">
        <f>IF(AND(ROW()-1&lt;=教室申込!$K$5,教室申込!$K$7=0,COUNTA(教室申込!$C$4)=1),INDEX(展開用!$D$2:$D$601,MATCH(ROW()-1,展開用!$E$2:$E$601,0)),"")</f>
        <v/>
      </c>
      <c r="J360" s="11"/>
      <c r="K360" s="11"/>
      <c r="L360" s="11" t="str">
        <f>IF(AND(ROW()-1&lt;=教室申込!$K$5,教室申込!$K$7=0,COUNTA(教室申込!$C$4)=1),INDEX(教室申込!$B$1:$B$212,$AW360),"")</f>
        <v/>
      </c>
      <c r="M360" s="11" t="str">
        <f>IF(AND(ROW()-1&lt;=教室申込!$K$5,教室申込!$K$7=0,COUNTA(教室申込!$C$4)=1),INDEX(教室申込!$C$1:$C$212,$AW360),"")</f>
        <v/>
      </c>
      <c r="N360" s="11"/>
      <c r="O360" s="12" t="str">
        <f>IF(AND(ROW()-1&lt;=教室申込!$K$5,教室申込!$K$7=0,COUNTA(教室申込!$C$4)=1),INDEX(展開用!$G$2:$G$601,MATCH(ROW()-1,展開用!$E$2:$E$601,0)),"")</f>
        <v/>
      </c>
      <c r="P360" s="11"/>
      <c r="Q360" s="11"/>
      <c r="R360" s="11"/>
      <c r="S360" s="11"/>
      <c r="T360" s="11"/>
      <c r="U360" s="11" t="str">
        <f>IF(AND(ROW()-1&lt;=教室申込!$K$5,教室申込!$K$7=0,COUNTA(教室申込!$C$4)=1),INDEX(展開用!$F$2:$F$601,MATCH(ROW()-1,展開用!$E$2:$E$601,0)),"")</f>
        <v/>
      </c>
      <c r="V360" s="11"/>
      <c r="W360" s="11"/>
      <c r="X360" s="11"/>
      <c r="Y360" s="11"/>
      <c r="Z360" s="11"/>
      <c r="AA360" s="11" t="str">
        <f>IF($AW360="","",IF(INDEX(教室申込!$J$1:$J$212,$AW360)="","",INDEX(教室申込!$J$1:$J$212,$AW360)))</f>
        <v/>
      </c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" t="str">
        <f>IF(AND(ROW()-1&lt;=教室申込!$K$5,教室申込!$K$7=0,COUNTA(教室申込!$C$4)=1),INDEX(展開用!$B$2:$B$601,MATCH(ROW()-1,展開用!$E$2:$E$601,0)),"")</f>
        <v/>
      </c>
      <c r="AX360" s="1"/>
      <c r="AY360" s="1"/>
    </row>
    <row r="361" spans="1:51" ht="24" customHeight="1">
      <c r="A361" s="11"/>
      <c r="B361" s="11"/>
      <c r="C361" s="11"/>
      <c r="D361" s="11"/>
      <c r="E361" s="11"/>
      <c r="F361" s="11"/>
      <c r="G361" s="11"/>
      <c r="H361" s="11" t="str">
        <f>IF(AND(ROW()-1&lt;=教室申込!$K$5,教室申込!$K$7=0,COUNTA(教室申込!$C$4)=1),INDEX(展開用!$C$2:$C$601,MATCH(ROW()-1,展開用!$E$2:$E$601,0)),"")</f>
        <v/>
      </c>
      <c r="I361" s="11" t="str">
        <f>IF(AND(ROW()-1&lt;=教室申込!$K$5,教室申込!$K$7=0,COUNTA(教室申込!$C$4)=1),INDEX(展開用!$D$2:$D$601,MATCH(ROW()-1,展開用!$E$2:$E$601,0)),"")</f>
        <v/>
      </c>
      <c r="J361" s="11"/>
      <c r="K361" s="11"/>
      <c r="L361" s="11" t="str">
        <f>IF(AND(ROW()-1&lt;=教室申込!$K$5,教室申込!$K$7=0,COUNTA(教室申込!$C$4)=1),INDEX(教室申込!$B$1:$B$212,$AW361),"")</f>
        <v/>
      </c>
      <c r="M361" s="11" t="str">
        <f>IF(AND(ROW()-1&lt;=教室申込!$K$5,教室申込!$K$7=0,COUNTA(教室申込!$C$4)=1),INDEX(教室申込!$C$1:$C$212,$AW361),"")</f>
        <v/>
      </c>
      <c r="N361" s="11"/>
      <c r="O361" s="12" t="str">
        <f>IF(AND(ROW()-1&lt;=教室申込!$K$5,教室申込!$K$7=0,COUNTA(教室申込!$C$4)=1),INDEX(展開用!$G$2:$G$601,MATCH(ROW()-1,展開用!$E$2:$E$601,0)),"")</f>
        <v/>
      </c>
      <c r="P361" s="11"/>
      <c r="Q361" s="11"/>
      <c r="R361" s="11"/>
      <c r="S361" s="11"/>
      <c r="T361" s="11"/>
      <c r="U361" s="11" t="str">
        <f>IF(AND(ROW()-1&lt;=教室申込!$K$5,教室申込!$K$7=0,COUNTA(教室申込!$C$4)=1),INDEX(展開用!$F$2:$F$601,MATCH(ROW()-1,展開用!$E$2:$E$601,0)),"")</f>
        <v/>
      </c>
      <c r="V361" s="11"/>
      <c r="W361" s="11"/>
      <c r="X361" s="11"/>
      <c r="Y361" s="11"/>
      <c r="Z361" s="11"/>
      <c r="AA361" s="11" t="str">
        <f>IF($AW361="","",IF(INDEX(教室申込!$J$1:$J$212,$AW361)="","",INDEX(教室申込!$J$1:$J$212,$AW361)))</f>
        <v/>
      </c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" t="str">
        <f>IF(AND(ROW()-1&lt;=教室申込!$K$5,教室申込!$K$7=0,COUNTA(教室申込!$C$4)=1),INDEX(展開用!$B$2:$B$601,MATCH(ROW()-1,展開用!$E$2:$E$601,0)),"")</f>
        <v/>
      </c>
      <c r="AX361" s="1"/>
      <c r="AY361" s="1"/>
    </row>
    <row r="362" spans="1:51" ht="24" customHeight="1">
      <c r="A362" s="11"/>
      <c r="B362" s="11"/>
      <c r="C362" s="11"/>
      <c r="D362" s="11"/>
      <c r="E362" s="11"/>
      <c r="F362" s="11"/>
      <c r="G362" s="11"/>
      <c r="H362" s="11" t="str">
        <f>IF(AND(ROW()-1&lt;=教室申込!$K$5,教室申込!$K$7=0,COUNTA(教室申込!$C$4)=1),INDEX(展開用!$C$2:$C$601,MATCH(ROW()-1,展開用!$E$2:$E$601,0)),"")</f>
        <v/>
      </c>
      <c r="I362" s="11" t="str">
        <f>IF(AND(ROW()-1&lt;=教室申込!$K$5,教室申込!$K$7=0,COUNTA(教室申込!$C$4)=1),INDEX(展開用!$D$2:$D$601,MATCH(ROW()-1,展開用!$E$2:$E$601,0)),"")</f>
        <v/>
      </c>
      <c r="J362" s="11"/>
      <c r="K362" s="11"/>
      <c r="L362" s="11" t="str">
        <f>IF(AND(ROW()-1&lt;=教室申込!$K$5,教室申込!$K$7=0,COUNTA(教室申込!$C$4)=1),INDEX(教室申込!$B$1:$B$212,$AW362),"")</f>
        <v/>
      </c>
      <c r="M362" s="11" t="str">
        <f>IF(AND(ROW()-1&lt;=教室申込!$K$5,教室申込!$K$7=0,COUNTA(教室申込!$C$4)=1),INDEX(教室申込!$C$1:$C$212,$AW362),"")</f>
        <v/>
      </c>
      <c r="N362" s="11"/>
      <c r="O362" s="12" t="str">
        <f>IF(AND(ROW()-1&lt;=教室申込!$K$5,教室申込!$K$7=0,COUNTA(教室申込!$C$4)=1),INDEX(展開用!$G$2:$G$601,MATCH(ROW()-1,展開用!$E$2:$E$601,0)),"")</f>
        <v/>
      </c>
      <c r="P362" s="11"/>
      <c r="Q362" s="11"/>
      <c r="R362" s="11"/>
      <c r="S362" s="11"/>
      <c r="T362" s="11"/>
      <c r="U362" s="11" t="str">
        <f>IF(AND(ROW()-1&lt;=教室申込!$K$5,教室申込!$K$7=0,COUNTA(教室申込!$C$4)=1),INDEX(展開用!$F$2:$F$601,MATCH(ROW()-1,展開用!$E$2:$E$601,0)),"")</f>
        <v/>
      </c>
      <c r="V362" s="11"/>
      <c r="W362" s="11"/>
      <c r="X362" s="11"/>
      <c r="Y362" s="11"/>
      <c r="Z362" s="11"/>
      <c r="AA362" s="11" t="str">
        <f>IF($AW362="","",IF(INDEX(教室申込!$J$1:$J$212,$AW362)="","",INDEX(教室申込!$J$1:$J$212,$AW362)))</f>
        <v/>
      </c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" t="str">
        <f>IF(AND(ROW()-1&lt;=教室申込!$K$5,教室申込!$K$7=0,COUNTA(教室申込!$C$4)=1),INDEX(展開用!$B$2:$B$601,MATCH(ROW()-1,展開用!$E$2:$E$601,0)),"")</f>
        <v/>
      </c>
      <c r="AX362" s="1"/>
      <c r="AY362" s="1"/>
    </row>
    <row r="363" spans="1:51" ht="24" customHeight="1">
      <c r="A363" s="11"/>
      <c r="B363" s="11"/>
      <c r="C363" s="11"/>
      <c r="D363" s="11"/>
      <c r="E363" s="11"/>
      <c r="F363" s="11"/>
      <c r="G363" s="11"/>
      <c r="H363" s="11" t="str">
        <f>IF(AND(ROW()-1&lt;=教室申込!$K$5,教室申込!$K$7=0,COUNTA(教室申込!$C$4)=1),INDEX(展開用!$C$2:$C$601,MATCH(ROW()-1,展開用!$E$2:$E$601,0)),"")</f>
        <v/>
      </c>
      <c r="I363" s="11" t="str">
        <f>IF(AND(ROW()-1&lt;=教室申込!$K$5,教室申込!$K$7=0,COUNTA(教室申込!$C$4)=1),INDEX(展開用!$D$2:$D$601,MATCH(ROW()-1,展開用!$E$2:$E$601,0)),"")</f>
        <v/>
      </c>
      <c r="J363" s="11"/>
      <c r="K363" s="11"/>
      <c r="L363" s="11" t="str">
        <f>IF(AND(ROW()-1&lt;=教室申込!$K$5,教室申込!$K$7=0,COUNTA(教室申込!$C$4)=1),INDEX(教室申込!$B$1:$B$212,$AW363),"")</f>
        <v/>
      </c>
      <c r="M363" s="11" t="str">
        <f>IF(AND(ROW()-1&lt;=教室申込!$K$5,教室申込!$K$7=0,COUNTA(教室申込!$C$4)=1),INDEX(教室申込!$C$1:$C$212,$AW363),"")</f>
        <v/>
      </c>
      <c r="N363" s="11"/>
      <c r="O363" s="12" t="str">
        <f>IF(AND(ROW()-1&lt;=教室申込!$K$5,教室申込!$K$7=0,COUNTA(教室申込!$C$4)=1),INDEX(展開用!$G$2:$G$601,MATCH(ROW()-1,展開用!$E$2:$E$601,0)),"")</f>
        <v/>
      </c>
      <c r="P363" s="11"/>
      <c r="Q363" s="11"/>
      <c r="R363" s="11"/>
      <c r="S363" s="11"/>
      <c r="T363" s="11"/>
      <c r="U363" s="11" t="str">
        <f>IF(AND(ROW()-1&lt;=教室申込!$K$5,教室申込!$K$7=0,COUNTA(教室申込!$C$4)=1),INDEX(展開用!$F$2:$F$601,MATCH(ROW()-1,展開用!$E$2:$E$601,0)),"")</f>
        <v/>
      </c>
      <c r="V363" s="11"/>
      <c r="W363" s="11"/>
      <c r="X363" s="11"/>
      <c r="Y363" s="11"/>
      <c r="Z363" s="11"/>
      <c r="AA363" s="11" t="str">
        <f>IF($AW363="","",IF(INDEX(教室申込!$J$1:$J$212,$AW363)="","",INDEX(教室申込!$J$1:$J$212,$AW363)))</f>
        <v/>
      </c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" t="str">
        <f>IF(AND(ROW()-1&lt;=教室申込!$K$5,教室申込!$K$7=0,COUNTA(教室申込!$C$4)=1),INDEX(展開用!$B$2:$B$601,MATCH(ROW()-1,展開用!$E$2:$E$601,0)),"")</f>
        <v/>
      </c>
      <c r="AX363" s="1"/>
      <c r="AY363" s="1"/>
    </row>
    <row r="364" spans="1:51" ht="24" customHeight="1">
      <c r="A364" s="11"/>
      <c r="B364" s="11"/>
      <c r="C364" s="11"/>
      <c r="D364" s="11"/>
      <c r="E364" s="11"/>
      <c r="F364" s="11"/>
      <c r="G364" s="11"/>
      <c r="H364" s="11" t="str">
        <f>IF(AND(ROW()-1&lt;=教室申込!$K$5,教室申込!$K$7=0,COUNTA(教室申込!$C$4)=1),INDEX(展開用!$C$2:$C$601,MATCH(ROW()-1,展開用!$E$2:$E$601,0)),"")</f>
        <v/>
      </c>
      <c r="I364" s="11" t="str">
        <f>IF(AND(ROW()-1&lt;=教室申込!$K$5,教室申込!$K$7=0,COUNTA(教室申込!$C$4)=1),INDEX(展開用!$D$2:$D$601,MATCH(ROW()-1,展開用!$E$2:$E$601,0)),"")</f>
        <v/>
      </c>
      <c r="J364" s="11"/>
      <c r="K364" s="11"/>
      <c r="L364" s="11" t="str">
        <f>IF(AND(ROW()-1&lt;=教室申込!$K$5,教室申込!$K$7=0,COUNTA(教室申込!$C$4)=1),INDEX(教室申込!$B$1:$B$212,$AW364),"")</f>
        <v/>
      </c>
      <c r="M364" s="11" t="str">
        <f>IF(AND(ROW()-1&lt;=教室申込!$K$5,教室申込!$K$7=0,COUNTA(教室申込!$C$4)=1),INDEX(教室申込!$C$1:$C$212,$AW364),"")</f>
        <v/>
      </c>
      <c r="N364" s="11"/>
      <c r="O364" s="12" t="str">
        <f>IF(AND(ROW()-1&lt;=教室申込!$K$5,教室申込!$K$7=0,COUNTA(教室申込!$C$4)=1),INDEX(展開用!$G$2:$G$601,MATCH(ROW()-1,展開用!$E$2:$E$601,0)),"")</f>
        <v/>
      </c>
      <c r="P364" s="11"/>
      <c r="Q364" s="11"/>
      <c r="R364" s="11"/>
      <c r="S364" s="11"/>
      <c r="T364" s="11"/>
      <c r="U364" s="11" t="str">
        <f>IF(AND(ROW()-1&lt;=教室申込!$K$5,教室申込!$K$7=0,COUNTA(教室申込!$C$4)=1),INDEX(展開用!$F$2:$F$601,MATCH(ROW()-1,展開用!$E$2:$E$601,0)),"")</f>
        <v/>
      </c>
      <c r="V364" s="11"/>
      <c r="W364" s="11"/>
      <c r="X364" s="11"/>
      <c r="Y364" s="11"/>
      <c r="Z364" s="11"/>
      <c r="AA364" s="11" t="str">
        <f>IF($AW364="","",IF(INDEX(教室申込!$J$1:$J$212,$AW364)="","",INDEX(教室申込!$J$1:$J$212,$AW364)))</f>
        <v/>
      </c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" t="str">
        <f>IF(AND(ROW()-1&lt;=教室申込!$K$5,教室申込!$K$7=0,COUNTA(教室申込!$C$4)=1),INDEX(展開用!$B$2:$B$601,MATCH(ROW()-1,展開用!$E$2:$E$601,0)),"")</f>
        <v/>
      </c>
      <c r="AX364" s="1"/>
      <c r="AY364" s="1"/>
    </row>
    <row r="365" spans="1:51" ht="24" customHeight="1">
      <c r="A365" s="11"/>
      <c r="B365" s="11"/>
      <c r="C365" s="11"/>
      <c r="D365" s="11"/>
      <c r="E365" s="11"/>
      <c r="F365" s="11"/>
      <c r="G365" s="11"/>
      <c r="H365" s="11" t="str">
        <f>IF(AND(ROW()-1&lt;=教室申込!$K$5,教室申込!$K$7=0,COUNTA(教室申込!$C$4)=1),INDEX(展開用!$C$2:$C$601,MATCH(ROW()-1,展開用!$E$2:$E$601,0)),"")</f>
        <v/>
      </c>
      <c r="I365" s="11" t="str">
        <f>IF(AND(ROW()-1&lt;=教室申込!$K$5,教室申込!$K$7=0,COUNTA(教室申込!$C$4)=1),INDEX(展開用!$D$2:$D$601,MATCH(ROW()-1,展開用!$E$2:$E$601,0)),"")</f>
        <v/>
      </c>
      <c r="J365" s="11"/>
      <c r="K365" s="11"/>
      <c r="L365" s="11" t="str">
        <f>IF(AND(ROW()-1&lt;=教室申込!$K$5,教室申込!$K$7=0,COUNTA(教室申込!$C$4)=1),INDEX(教室申込!$B$1:$B$212,$AW365),"")</f>
        <v/>
      </c>
      <c r="M365" s="11" t="str">
        <f>IF(AND(ROW()-1&lt;=教室申込!$K$5,教室申込!$K$7=0,COUNTA(教室申込!$C$4)=1),INDEX(教室申込!$C$1:$C$212,$AW365),"")</f>
        <v/>
      </c>
      <c r="N365" s="11"/>
      <c r="O365" s="12" t="str">
        <f>IF(AND(ROW()-1&lt;=教室申込!$K$5,教室申込!$K$7=0,COUNTA(教室申込!$C$4)=1),INDEX(展開用!$G$2:$G$601,MATCH(ROW()-1,展開用!$E$2:$E$601,0)),"")</f>
        <v/>
      </c>
      <c r="P365" s="11"/>
      <c r="Q365" s="11"/>
      <c r="R365" s="11"/>
      <c r="S365" s="11"/>
      <c r="T365" s="11"/>
      <c r="U365" s="11" t="str">
        <f>IF(AND(ROW()-1&lt;=教室申込!$K$5,教室申込!$K$7=0,COUNTA(教室申込!$C$4)=1),INDEX(展開用!$F$2:$F$601,MATCH(ROW()-1,展開用!$E$2:$E$601,0)),"")</f>
        <v/>
      </c>
      <c r="V365" s="11"/>
      <c r="W365" s="11"/>
      <c r="X365" s="11"/>
      <c r="Y365" s="11"/>
      <c r="Z365" s="11"/>
      <c r="AA365" s="11" t="str">
        <f>IF($AW365="","",IF(INDEX(教室申込!$J$1:$J$212,$AW365)="","",INDEX(教室申込!$J$1:$J$212,$AW365)))</f>
        <v/>
      </c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" t="str">
        <f>IF(AND(ROW()-1&lt;=教室申込!$K$5,教室申込!$K$7=0,COUNTA(教室申込!$C$4)=1),INDEX(展開用!$B$2:$B$601,MATCH(ROW()-1,展開用!$E$2:$E$601,0)),"")</f>
        <v/>
      </c>
      <c r="AX365" s="1"/>
      <c r="AY365" s="1"/>
    </row>
    <row r="366" spans="1:51" ht="24" customHeight="1">
      <c r="A366" s="11"/>
      <c r="B366" s="11"/>
      <c r="C366" s="11"/>
      <c r="D366" s="11"/>
      <c r="E366" s="11"/>
      <c r="F366" s="11"/>
      <c r="G366" s="11"/>
      <c r="H366" s="11" t="str">
        <f>IF(AND(ROW()-1&lt;=教室申込!$K$5,教室申込!$K$7=0,COUNTA(教室申込!$C$4)=1),INDEX(展開用!$C$2:$C$601,MATCH(ROW()-1,展開用!$E$2:$E$601,0)),"")</f>
        <v/>
      </c>
      <c r="I366" s="11" t="str">
        <f>IF(AND(ROW()-1&lt;=教室申込!$K$5,教室申込!$K$7=0,COUNTA(教室申込!$C$4)=1),INDEX(展開用!$D$2:$D$601,MATCH(ROW()-1,展開用!$E$2:$E$601,0)),"")</f>
        <v/>
      </c>
      <c r="J366" s="11"/>
      <c r="K366" s="11"/>
      <c r="L366" s="11" t="str">
        <f>IF(AND(ROW()-1&lt;=教室申込!$K$5,教室申込!$K$7=0,COUNTA(教室申込!$C$4)=1),INDEX(教室申込!$B$1:$B$212,$AW366),"")</f>
        <v/>
      </c>
      <c r="M366" s="11" t="str">
        <f>IF(AND(ROW()-1&lt;=教室申込!$K$5,教室申込!$K$7=0,COUNTA(教室申込!$C$4)=1),INDEX(教室申込!$C$1:$C$212,$AW366),"")</f>
        <v/>
      </c>
      <c r="N366" s="11"/>
      <c r="O366" s="12" t="str">
        <f>IF(AND(ROW()-1&lt;=教室申込!$K$5,教室申込!$K$7=0,COUNTA(教室申込!$C$4)=1),INDEX(展開用!$G$2:$G$601,MATCH(ROW()-1,展開用!$E$2:$E$601,0)),"")</f>
        <v/>
      </c>
      <c r="P366" s="11"/>
      <c r="Q366" s="11"/>
      <c r="R366" s="11"/>
      <c r="S366" s="11"/>
      <c r="T366" s="11"/>
      <c r="U366" s="11" t="str">
        <f>IF(AND(ROW()-1&lt;=教室申込!$K$5,教室申込!$K$7=0,COUNTA(教室申込!$C$4)=1),INDEX(展開用!$F$2:$F$601,MATCH(ROW()-1,展開用!$E$2:$E$601,0)),"")</f>
        <v/>
      </c>
      <c r="V366" s="11"/>
      <c r="W366" s="11"/>
      <c r="X366" s="11"/>
      <c r="Y366" s="11"/>
      <c r="Z366" s="11"/>
      <c r="AA366" s="11" t="str">
        <f>IF($AW366="","",IF(INDEX(教室申込!$J$1:$J$212,$AW366)="","",INDEX(教室申込!$J$1:$J$212,$AW366)))</f>
        <v/>
      </c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" t="str">
        <f>IF(AND(ROW()-1&lt;=教室申込!$K$5,教室申込!$K$7=0,COUNTA(教室申込!$C$4)=1),INDEX(展開用!$B$2:$B$601,MATCH(ROW()-1,展開用!$E$2:$E$601,0)),"")</f>
        <v/>
      </c>
      <c r="AX366" s="1"/>
      <c r="AY366" s="1"/>
    </row>
    <row r="367" spans="1:51" ht="24" customHeight="1">
      <c r="A367" s="11"/>
      <c r="B367" s="11"/>
      <c r="C367" s="11"/>
      <c r="D367" s="11"/>
      <c r="E367" s="11"/>
      <c r="F367" s="11"/>
      <c r="G367" s="11"/>
      <c r="H367" s="11" t="str">
        <f>IF(AND(ROW()-1&lt;=教室申込!$K$5,教室申込!$K$7=0,COUNTA(教室申込!$C$4)=1),INDEX(展開用!$C$2:$C$601,MATCH(ROW()-1,展開用!$E$2:$E$601,0)),"")</f>
        <v/>
      </c>
      <c r="I367" s="11" t="str">
        <f>IF(AND(ROW()-1&lt;=教室申込!$K$5,教室申込!$K$7=0,COUNTA(教室申込!$C$4)=1),INDEX(展開用!$D$2:$D$601,MATCH(ROW()-1,展開用!$E$2:$E$601,0)),"")</f>
        <v/>
      </c>
      <c r="J367" s="11"/>
      <c r="K367" s="11"/>
      <c r="L367" s="11" t="str">
        <f>IF(AND(ROW()-1&lt;=教室申込!$K$5,教室申込!$K$7=0,COUNTA(教室申込!$C$4)=1),INDEX(教室申込!$B$1:$B$212,$AW367),"")</f>
        <v/>
      </c>
      <c r="M367" s="11" t="str">
        <f>IF(AND(ROW()-1&lt;=教室申込!$K$5,教室申込!$K$7=0,COUNTA(教室申込!$C$4)=1),INDEX(教室申込!$C$1:$C$212,$AW367),"")</f>
        <v/>
      </c>
      <c r="N367" s="11"/>
      <c r="O367" s="12" t="str">
        <f>IF(AND(ROW()-1&lt;=教室申込!$K$5,教室申込!$K$7=0,COUNTA(教室申込!$C$4)=1),INDEX(展開用!$G$2:$G$601,MATCH(ROW()-1,展開用!$E$2:$E$601,0)),"")</f>
        <v/>
      </c>
      <c r="P367" s="11"/>
      <c r="Q367" s="11"/>
      <c r="R367" s="11"/>
      <c r="S367" s="11"/>
      <c r="T367" s="11"/>
      <c r="U367" s="11" t="str">
        <f>IF(AND(ROW()-1&lt;=教室申込!$K$5,教室申込!$K$7=0,COUNTA(教室申込!$C$4)=1),INDEX(展開用!$F$2:$F$601,MATCH(ROW()-1,展開用!$E$2:$E$601,0)),"")</f>
        <v/>
      </c>
      <c r="V367" s="11"/>
      <c r="W367" s="11"/>
      <c r="X367" s="11"/>
      <c r="Y367" s="11"/>
      <c r="Z367" s="11"/>
      <c r="AA367" s="11" t="str">
        <f>IF($AW367="","",IF(INDEX(教室申込!$J$1:$J$212,$AW367)="","",INDEX(教室申込!$J$1:$J$212,$AW367)))</f>
        <v/>
      </c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" t="str">
        <f>IF(AND(ROW()-1&lt;=教室申込!$K$5,教室申込!$K$7=0,COUNTA(教室申込!$C$4)=1),INDEX(展開用!$B$2:$B$601,MATCH(ROW()-1,展開用!$E$2:$E$601,0)),"")</f>
        <v/>
      </c>
      <c r="AX367" s="1"/>
      <c r="AY367" s="1"/>
    </row>
    <row r="368" spans="1:51" ht="24" customHeight="1">
      <c r="A368" s="11"/>
      <c r="B368" s="11"/>
      <c r="C368" s="11"/>
      <c r="D368" s="11"/>
      <c r="E368" s="11"/>
      <c r="F368" s="11"/>
      <c r="G368" s="11"/>
      <c r="H368" s="11" t="str">
        <f>IF(AND(ROW()-1&lt;=教室申込!$K$5,教室申込!$K$7=0,COUNTA(教室申込!$C$4)=1),INDEX(展開用!$C$2:$C$601,MATCH(ROW()-1,展開用!$E$2:$E$601,0)),"")</f>
        <v/>
      </c>
      <c r="I368" s="11" t="str">
        <f>IF(AND(ROW()-1&lt;=教室申込!$K$5,教室申込!$K$7=0,COUNTA(教室申込!$C$4)=1),INDEX(展開用!$D$2:$D$601,MATCH(ROW()-1,展開用!$E$2:$E$601,0)),"")</f>
        <v/>
      </c>
      <c r="J368" s="11"/>
      <c r="K368" s="11"/>
      <c r="L368" s="11" t="str">
        <f>IF(AND(ROW()-1&lt;=教室申込!$K$5,教室申込!$K$7=0,COUNTA(教室申込!$C$4)=1),INDEX(教室申込!$B$1:$B$212,$AW368),"")</f>
        <v/>
      </c>
      <c r="M368" s="11" t="str">
        <f>IF(AND(ROW()-1&lt;=教室申込!$K$5,教室申込!$K$7=0,COUNTA(教室申込!$C$4)=1),INDEX(教室申込!$C$1:$C$212,$AW368),"")</f>
        <v/>
      </c>
      <c r="N368" s="11"/>
      <c r="O368" s="12" t="str">
        <f>IF(AND(ROW()-1&lt;=教室申込!$K$5,教室申込!$K$7=0,COUNTA(教室申込!$C$4)=1),INDEX(展開用!$G$2:$G$601,MATCH(ROW()-1,展開用!$E$2:$E$601,0)),"")</f>
        <v/>
      </c>
      <c r="P368" s="11"/>
      <c r="Q368" s="11"/>
      <c r="R368" s="11"/>
      <c r="S368" s="11"/>
      <c r="T368" s="11"/>
      <c r="U368" s="11" t="str">
        <f>IF(AND(ROW()-1&lt;=教室申込!$K$5,教室申込!$K$7=0,COUNTA(教室申込!$C$4)=1),INDEX(展開用!$F$2:$F$601,MATCH(ROW()-1,展開用!$E$2:$E$601,0)),"")</f>
        <v/>
      </c>
      <c r="V368" s="11"/>
      <c r="W368" s="11"/>
      <c r="X368" s="11"/>
      <c r="Y368" s="11"/>
      <c r="Z368" s="11"/>
      <c r="AA368" s="11" t="str">
        <f>IF($AW368="","",IF(INDEX(教室申込!$J$1:$J$212,$AW368)="","",INDEX(教室申込!$J$1:$J$212,$AW368)))</f>
        <v/>
      </c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" t="str">
        <f>IF(AND(ROW()-1&lt;=教室申込!$K$5,教室申込!$K$7=0,COUNTA(教室申込!$C$4)=1),INDEX(展開用!$B$2:$B$601,MATCH(ROW()-1,展開用!$E$2:$E$601,0)),"")</f>
        <v/>
      </c>
      <c r="AX368" s="1"/>
      <c r="AY368" s="1"/>
    </row>
    <row r="369" spans="1:51" ht="24" customHeight="1">
      <c r="A369" s="11"/>
      <c r="B369" s="11"/>
      <c r="C369" s="11"/>
      <c r="D369" s="11"/>
      <c r="E369" s="11"/>
      <c r="F369" s="11"/>
      <c r="G369" s="11"/>
      <c r="H369" s="11" t="str">
        <f>IF(AND(ROW()-1&lt;=教室申込!$K$5,教室申込!$K$7=0,COUNTA(教室申込!$C$4)=1),INDEX(展開用!$C$2:$C$601,MATCH(ROW()-1,展開用!$E$2:$E$601,0)),"")</f>
        <v/>
      </c>
      <c r="I369" s="11" t="str">
        <f>IF(AND(ROW()-1&lt;=教室申込!$K$5,教室申込!$K$7=0,COUNTA(教室申込!$C$4)=1),INDEX(展開用!$D$2:$D$601,MATCH(ROW()-1,展開用!$E$2:$E$601,0)),"")</f>
        <v/>
      </c>
      <c r="J369" s="11"/>
      <c r="K369" s="11"/>
      <c r="L369" s="11" t="str">
        <f>IF(AND(ROW()-1&lt;=教室申込!$K$5,教室申込!$K$7=0,COUNTA(教室申込!$C$4)=1),INDEX(教室申込!$B$1:$B$212,$AW369),"")</f>
        <v/>
      </c>
      <c r="M369" s="11" t="str">
        <f>IF(AND(ROW()-1&lt;=教室申込!$K$5,教室申込!$K$7=0,COUNTA(教室申込!$C$4)=1),INDEX(教室申込!$C$1:$C$212,$AW369),"")</f>
        <v/>
      </c>
      <c r="N369" s="11"/>
      <c r="O369" s="12" t="str">
        <f>IF(AND(ROW()-1&lt;=教室申込!$K$5,教室申込!$K$7=0,COUNTA(教室申込!$C$4)=1),INDEX(展開用!$G$2:$G$601,MATCH(ROW()-1,展開用!$E$2:$E$601,0)),"")</f>
        <v/>
      </c>
      <c r="P369" s="11"/>
      <c r="Q369" s="11"/>
      <c r="R369" s="11"/>
      <c r="S369" s="11"/>
      <c r="T369" s="11"/>
      <c r="U369" s="11" t="str">
        <f>IF(AND(ROW()-1&lt;=教室申込!$K$5,教室申込!$K$7=0,COUNTA(教室申込!$C$4)=1),INDEX(展開用!$F$2:$F$601,MATCH(ROW()-1,展開用!$E$2:$E$601,0)),"")</f>
        <v/>
      </c>
      <c r="V369" s="11"/>
      <c r="W369" s="11"/>
      <c r="X369" s="11"/>
      <c r="Y369" s="11"/>
      <c r="Z369" s="11"/>
      <c r="AA369" s="11" t="str">
        <f>IF($AW369="","",IF(INDEX(教室申込!$J$1:$J$212,$AW369)="","",INDEX(教室申込!$J$1:$J$212,$AW369)))</f>
        <v/>
      </c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" t="str">
        <f>IF(AND(ROW()-1&lt;=教室申込!$K$5,教室申込!$K$7=0,COUNTA(教室申込!$C$4)=1),INDEX(展開用!$B$2:$B$601,MATCH(ROW()-1,展開用!$E$2:$E$601,0)),"")</f>
        <v/>
      </c>
      <c r="AX369" s="1"/>
      <c r="AY369" s="1"/>
    </row>
    <row r="370" spans="1:51" ht="24" customHeight="1">
      <c r="A370" s="11"/>
      <c r="B370" s="11"/>
      <c r="C370" s="11"/>
      <c r="D370" s="11"/>
      <c r="E370" s="11"/>
      <c r="F370" s="11"/>
      <c r="G370" s="11"/>
      <c r="H370" s="11" t="str">
        <f>IF(AND(ROW()-1&lt;=教室申込!$K$5,教室申込!$K$7=0,COUNTA(教室申込!$C$4)=1),INDEX(展開用!$C$2:$C$601,MATCH(ROW()-1,展開用!$E$2:$E$601,0)),"")</f>
        <v/>
      </c>
      <c r="I370" s="11" t="str">
        <f>IF(AND(ROW()-1&lt;=教室申込!$K$5,教室申込!$K$7=0,COUNTA(教室申込!$C$4)=1),INDEX(展開用!$D$2:$D$601,MATCH(ROW()-1,展開用!$E$2:$E$601,0)),"")</f>
        <v/>
      </c>
      <c r="J370" s="11"/>
      <c r="K370" s="11"/>
      <c r="L370" s="11" t="str">
        <f>IF(AND(ROW()-1&lt;=教室申込!$K$5,教室申込!$K$7=0,COUNTA(教室申込!$C$4)=1),INDEX(教室申込!$B$1:$B$212,$AW370),"")</f>
        <v/>
      </c>
      <c r="M370" s="11" t="str">
        <f>IF(AND(ROW()-1&lt;=教室申込!$K$5,教室申込!$K$7=0,COUNTA(教室申込!$C$4)=1),INDEX(教室申込!$C$1:$C$212,$AW370),"")</f>
        <v/>
      </c>
      <c r="N370" s="11"/>
      <c r="O370" s="12" t="str">
        <f>IF(AND(ROW()-1&lt;=教室申込!$K$5,教室申込!$K$7=0,COUNTA(教室申込!$C$4)=1),INDEX(展開用!$G$2:$G$601,MATCH(ROW()-1,展開用!$E$2:$E$601,0)),"")</f>
        <v/>
      </c>
      <c r="P370" s="11"/>
      <c r="Q370" s="11"/>
      <c r="R370" s="11"/>
      <c r="S370" s="11"/>
      <c r="T370" s="11"/>
      <c r="U370" s="11" t="str">
        <f>IF(AND(ROW()-1&lt;=教室申込!$K$5,教室申込!$K$7=0,COUNTA(教室申込!$C$4)=1),INDEX(展開用!$F$2:$F$601,MATCH(ROW()-1,展開用!$E$2:$E$601,0)),"")</f>
        <v/>
      </c>
      <c r="V370" s="11"/>
      <c r="W370" s="11"/>
      <c r="X370" s="11"/>
      <c r="Y370" s="11"/>
      <c r="Z370" s="11"/>
      <c r="AA370" s="11" t="str">
        <f>IF($AW370="","",IF(INDEX(教室申込!$J$1:$J$212,$AW370)="","",INDEX(教室申込!$J$1:$J$212,$AW370)))</f>
        <v/>
      </c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" t="str">
        <f>IF(AND(ROW()-1&lt;=教室申込!$K$5,教室申込!$K$7=0,COUNTA(教室申込!$C$4)=1),INDEX(展開用!$B$2:$B$601,MATCH(ROW()-1,展開用!$E$2:$E$601,0)),"")</f>
        <v/>
      </c>
      <c r="AX370" s="1"/>
      <c r="AY370" s="1"/>
    </row>
    <row r="371" spans="1:51" ht="24" customHeight="1">
      <c r="A371" s="11"/>
      <c r="B371" s="11"/>
      <c r="C371" s="11"/>
      <c r="D371" s="11"/>
      <c r="E371" s="11"/>
      <c r="F371" s="11"/>
      <c r="G371" s="11"/>
      <c r="H371" s="11" t="str">
        <f>IF(AND(ROW()-1&lt;=教室申込!$K$5,教室申込!$K$7=0,COUNTA(教室申込!$C$4)=1),INDEX(展開用!$C$2:$C$601,MATCH(ROW()-1,展開用!$E$2:$E$601,0)),"")</f>
        <v/>
      </c>
      <c r="I371" s="11" t="str">
        <f>IF(AND(ROW()-1&lt;=教室申込!$K$5,教室申込!$K$7=0,COUNTA(教室申込!$C$4)=1),INDEX(展開用!$D$2:$D$601,MATCH(ROW()-1,展開用!$E$2:$E$601,0)),"")</f>
        <v/>
      </c>
      <c r="J371" s="11"/>
      <c r="K371" s="11"/>
      <c r="L371" s="11" t="str">
        <f>IF(AND(ROW()-1&lt;=教室申込!$K$5,教室申込!$K$7=0,COUNTA(教室申込!$C$4)=1),INDEX(教室申込!$B$1:$B$212,$AW371),"")</f>
        <v/>
      </c>
      <c r="M371" s="11" t="str">
        <f>IF(AND(ROW()-1&lt;=教室申込!$K$5,教室申込!$K$7=0,COUNTA(教室申込!$C$4)=1),INDEX(教室申込!$C$1:$C$212,$AW371),"")</f>
        <v/>
      </c>
      <c r="N371" s="11"/>
      <c r="O371" s="12" t="str">
        <f>IF(AND(ROW()-1&lt;=教室申込!$K$5,教室申込!$K$7=0,COUNTA(教室申込!$C$4)=1),INDEX(展開用!$G$2:$G$601,MATCH(ROW()-1,展開用!$E$2:$E$601,0)),"")</f>
        <v/>
      </c>
      <c r="P371" s="11"/>
      <c r="Q371" s="11"/>
      <c r="R371" s="11"/>
      <c r="S371" s="11"/>
      <c r="T371" s="11"/>
      <c r="U371" s="11" t="str">
        <f>IF(AND(ROW()-1&lt;=教室申込!$K$5,教室申込!$K$7=0,COUNTA(教室申込!$C$4)=1),INDEX(展開用!$F$2:$F$601,MATCH(ROW()-1,展開用!$E$2:$E$601,0)),"")</f>
        <v/>
      </c>
      <c r="V371" s="11"/>
      <c r="W371" s="11"/>
      <c r="X371" s="11"/>
      <c r="Y371" s="11"/>
      <c r="Z371" s="11"/>
      <c r="AA371" s="11" t="str">
        <f>IF($AW371="","",IF(INDEX(教室申込!$J$1:$J$212,$AW371)="","",INDEX(教室申込!$J$1:$J$212,$AW371)))</f>
        <v/>
      </c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" t="str">
        <f>IF(AND(ROW()-1&lt;=教室申込!$K$5,教室申込!$K$7=0,COUNTA(教室申込!$C$4)=1),INDEX(展開用!$B$2:$B$601,MATCH(ROW()-1,展開用!$E$2:$E$601,0)),"")</f>
        <v/>
      </c>
      <c r="AX371" s="1"/>
      <c r="AY371" s="1"/>
    </row>
    <row r="372" spans="1:51" ht="24" customHeight="1">
      <c r="A372" s="11"/>
      <c r="B372" s="11"/>
      <c r="C372" s="11"/>
      <c r="D372" s="11"/>
      <c r="E372" s="11"/>
      <c r="F372" s="11"/>
      <c r="G372" s="11"/>
      <c r="H372" s="11" t="str">
        <f>IF(AND(ROW()-1&lt;=教室申込!$K$5,教室申込!$K$7=0,COUNTA(教室申込!$C$4)=1),INDEX(展開用!$C$2:$C$601,MATCH(ROW()-1,展開用!$E$2:$E$601,0)),"")</f>
        <v/>
      </c>
      <c r="I372" s="11" t="str">
        <f>IF(AND(ROW()-1&lt;=教室申込!$K$5,教室申込!$K$7=0,COUNTA(教室申込!$C$4)=1),INDEX(展開用!$D$2:$D$601,MATCH(ROW()-1,展開用!$E$2:$E$601,0)),"")</f>
        <v/>
      </c>
      <c r="J372" s="11"/>
      <c r="K372" s="11"/>
      <c r="L372" s="11" t="str">
        <f>IF(AND(ROW()-1&lt;=教室申込!$K$5,教室申込!$K$7=0,COUNTA(教室申込!$C$4)=1),INDEX(教室申込!$B$1:$B$212,$AW372),"")</f>
        <v/>
      </c>
      <c r="M372" s="11" t="str">
        <f>IF(AND(ROW()-1&lt;=教室申込!$K$5,教室申込!$K$7=0,COUNTA(教室申込!$C$4)=1),INDEX(教室申込!$C$1:$C$212,$AW372),"")</f>
        <v/>
      </c>
      <c r="N372" s="11"/>
      <c r="O372" s="12" t="str">
        <f>IF(AND(ROW()-1&lt;=教室申込!$K$5,教室申込!$K$7=0,COUNTA(教室申込!$C$4)=1),INDEX(展開用!$G$2:$G$601,MATCH(ROW()-1,展開用!$E$2:$E$601,0)),"")</f>
        <v/>
      </c>
      <c r="P372" s="11"/>
      <c r="Q372" s="11"/>
      <c r="R372" s="11"/>
      <c r="S372" s="11"/>
      <c r="T372" s="11"/>
      <c r="U372" s="11" t="str">
        <f>IF(AND(ROW()-1&lt;=教室申込!$K$5,教室申込!$K$7=0,COUNTA(教室申込!$C$4)=1),INDEX(展開用!$F$2:$F$601,MATCH(ROW()-1,展開用!$E$2:$E$601,0)),"")</f>
        <v/>
      </c>
      <c r="V372" s="11"/>
      <c r="W372" s="11"/>
      <c r="X372" s="11"/>
      <c r="Y372" s="11"/>
      <c r="Z372" s="11"/>
      <c r="AA372" s="11" t="str">
        <f>IF($AW372="","",IF(INDEX(教室申込!$J$1:$J$212,$AW372)="","",INDEX(教室申込!$J$1:$J$212,$AW372)))</f>
        <v/>
      </c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" t="str">
        <f>IF(AND(ROW()-1&lt;=教室申込!$K$5,教室申込!$K$7=0,COUNTA(教室申込!$C$4)=1),INDEX(展開用!$B$2:$B$601,MATCH(ROW()-1,展開用!$E$2:$E$601,0)),"")</f>
        <v/>
      </c>
      <c r="AX372" s="1"/>
      <c r="AY372" s="1"/>
    </row>
    <row r="373" spans="1:51" ht="24" customHeight="1">
      <c r="A373" s="11"/>
      <c r="B373" s="11"/>
      <c r="C373" s="11"/>
      <c r="D373" s="11"/>
      <c r="E373" s="11"/>
      <c r="F373" s="11"/>
      <c r="G373" s="11"/>
      <c r="H373" s="11" t="str">
        <f>IF(AND(ROW()-1&lt;=教室申込!$K$5,教室申込!$K$7=0,COUNTA(教室申込!$C$4)=1),INDEX(展開用!$C$2:$C$601,MATCH(ROW()-1,展開用!$E$2:$E$601,0)),"")</f>
        <v/>
      </c>
      <c r="I373" s="11" t="str">
        <f>IF(AND(ROW()-1&lt;=教室申込!$K$5,教室申込!$K$7=0,COUNTA(教室申込!$C$4)=1),INDEX(展開用!$D$2:$D$601,MATCH(ROW()-1,展開用!$E$2:$E$601,0)),"")</f>
        <v/>
      </c>
      <c r="J373" s="11"/>
      <c r="K373" s="11"/>
      <c r="L373" s="11" t="str">
        <f>IF(AND(ROW()-1&lt;=教室申込!$K$5,教室申込!$K$7=0,COUNTA(教室申込!$C$4)=1),INDEX(教室申込!$B$1:$B$212,$AW373),"")</f>
        <v/>
      </c>
      <c r="M373" s="11" t="str">
        <f>IF(AND(ROW()-1&lt;=教室申込!$K$5,教室申込!$K$7=0,COUNTA(教室申込!$C$4)=1),INDEX(教室申込!$C$1:$C$212,$AW373),"")</f>
        <v/>
      </c>
      <c r="N373" s="11"/>
      <c r="O373" s="12" t="str">
        <f>IF(AND(ROW()-1&lt;=教室申込!$K$5,教室申込!$K$7=0,COUNTA(教室申込!$C$4)=1),INDEX(展開用!$G$2:$G$601,MATCH(ROW()-1,展開用!$E$2:$E$601,0)),"")</f>
        <v/>
      </c>
      <c r="P373" s="11"/>
      <c r="Q373" s="11"/>
      <c r="R373" s="11"/>
      <c r="S373" s="11"/>
      <c r="T373" s="11"/>
      <c r="U373" s="11" t="str">
        <f>IF(AND(ROW()-1&lt;=教室申込!$K$5,教室申込!$K$7=0,COUNTA(教室申込!$C$4)=1),INDEX(展開用!$F$2:$F$601,MATCH(ROW()-1,展開用!$E$2:$E$601,0)),"")</f>
        <v/>
      </c>
      <c r="V373" s="11"/>
      <c r="W373" s="11"/>
      <c r="X373" s="11"/>
      <c r="Y373" s="11"/>
      <c r="Z373" s="11"/>
      <c r="AA373" s="11" t="str">
        <f>IF($AW373="","",IF(INDEX(教室申込!$J$1:$J$212,$AW373)="","",INDEX(教室申込!$J$1:$J$212,$AW373)))</f>
        <v/>
      </c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" t="str">
        <f>IF(AND(ROW()-1&lt;=教室申込!$K$5,教室申込!$K$7=0,COUNTA(教室申込!$C$4)=1),INDEX(展開用!$B$2:$B$601,MATCH(ROW()-1,展開用!$E$2:$E$601,0)),"")</f>
        <v/>
      </c>
      <c r="AX373" s="1"/>
      <c r="AY373" s="1"/>
    </row>
    <row r="374" spans="1:51" ht="24" customHeight="1">
      <c r="A374" s="11"/>
      <c r="B374" s="11"/>
      <c r="C374" s="11"/>
      <c r="D374" s="11"/>
      <c r="E374" s="11"/>
      <c r="F374" s="11"/>
      <c r="G374" s="11"/>
      <c r="H374" s="11" t="str">
        <f>IF(AND(ROW()-1&lt;=教室申込!$K$5,教室申込!$K$7=0,COUNTA(教室申込!$C$4)=1),INDEX(展開用!$C$2:$C$601,MATCH(ROW()-1,展開用!$E$2:$E$601,0)),"")</f>
        <v/>
      </c>
      <c r="I374" s="11" t="str">
        <f>IF(AND(ROW()-1&lt;=教室申込!$K$5,教室申込!$K$7=0,COUNTA(教室申込!$C$4)=1),INDEX(展開用!$D$2:$D$601,MATCH(ROW()-1,展開用!$E$2:$E$601,0)),"")</f>
        <v/>
      </c>
      <c r="J374" s="11"/>
      <c r="K374" s="11"/>
      <c r="L374" s="11" t="str">
        <f>IF(AND(ROW()-1&lt;=教室申込!$K$5,教室申込!$K$7=0,COUNTA(教室申込!$C$4)=1),INDEX(教室申込!$B$1:$B$212,$AW374),"")</f>
        <v/>
      </c>
      <c r="M374" s="11" t="str">
        <f>IF(AND(ROW()-1&lt;=教室申込!$K$5,教室申込!$K$7=0,COUNTA(教室申込!$C$4)=1),INDEX(教室申込!$C$1:$C$212,$AW374),"")</f>
        <v/>
      </c>
      <c r="N374" s="11"/>
      <c r="O374" s="12" t="str">
        <f>IF(AND(ROW()-1&lt;=教室申込!$K$5,教室申込!$K$7=0,COUNTA(教室申込!$C$4)=1),INDEX(展開用!$G$2:$G$601,MATCH(ROW()-1,展開用!$E$2:$E$601,0)),"")</f>
        <v/>
      </c>
      <c r="P374" s="11"/>
      <c r="Q374" s="11"/>
      <c r="R374" s="11"/>
      <c r="S374" s="11"/>
      <c r="T374" s="11"/>
      <c r="U374" s="11" t="str">
        <f>IF(AND(ROW()-1&lt;=教室申込!$K$5,教室申込!$K$7=0,COUNTA(教室申込!$C$4)=1),INDEX(展開用!$F$2:$F$601,MATCH(ROW()-1,展開用!$E$2:$E$601,0)),"")</f>
        <v/>
      </c>
      <c r="V374" s="11"/>
      <c r="W374" s="11"/>
      <c r="X374" s="11"/>
      <c r="Y374" s="11"/>
      <c r="Z374" s="11"/>
      <c r="AA374" s="11" t="str">
        <f>IF($AW374="","",IF(INDEX(教室申込!$J$1:$J$212,$AW374)="","",INDEX(教室申込!$J$1:$J$212,$AW374)))</f>
        <v/>
      </c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" t="str">
        <f>IF(AND(ROW()-1&lt;=教室申込!$K$5,教室申込!$K$7=0,COUNTA(教室申込!$C$4)=1),INDEX(展開用!$B$2:$B$601,MATCH(ROW()-1,展開用!$E$2:$E$601,0)),"")</f>
        <v/>
      </c>
      <c r="AX374" s="1"/>
      <c r="AY374" s="1"/>
    </row>
    <row r="375" spans="1:51" ht="24" customHeight="1">
      <c r="A375" s="11"/>
      <c r="B375" s="11"/>
      <c r="C375" s="11"/>
      <c r="D375" s="11"/>
      <c r="E375" s="11"/>
      <c r="F375" s="11"/>
      <c r="G375" s="11"/>
      <c r="H375" s="11" t="str">
        <f>IF(AND(ROW()-1&lt;=教室申込!$K$5,教室申込!$K$7=0,COUNTA(教室申込!$C$4)=1),INDEX(展開用!$C$2:$C$601,MATCH(ROW()-1,展開用!$E$2:$E$601,0)),"")</f>
        <v/>
      </c>
      <c r="I375" s="11" t="str">
        <f>IF(AND(ROW()-1&lt;=教室申込!$K$5,教室申込!$K$7=0,COUNTA(教室申込!$C$4)=1),INDEX(展開用!$D$2:$D$601,MATCH(ROW()-1,展開用!$E$2:$E$601,0)),"")</f>
        <v/>
      </c>
      <c r="J375" s="11"/>
      <c r="K375" s="11"/>
      <c r="L375" s="11" t="str">
        <f>IF(AND(ROW()-1&lt;=教室申込!$K$5,教室申込!$K$7=0,COUNTA(教室申込!$C$4)=1),INDEX(教室申込!$B$1:$B$212,$AW375),"")</f>
        <v/>
      </c>
      <c r="M375" s="11" t="str">
        <f>IF(AND(ROW()-1&lt;=教室申込!$K$5,教室申込!$K$7=0,COUNTA(教室申込!$C$4)=1),INDEX(教室申込!$C$1:$C$212,$AW375),"")</f>
        <v/>
      </c>
      <c r="N375" s="11"/>
      <c r="O375" s="12" t="str">
        <f>IF(AND(ROW()-1&lt;=教室申込!$K$5,教室申込!$K$7=0,COUNTA(教室申込!$C$4)=1),INDEX(展開用!$G$2:$G$601,MATCH(ROW()-1,展開用!$E$2:$E$601,0)),"")</f>
        <v/>
      </c>
      <c r="P375" s="11"/>
      <c r="Q375" s="11"/>
      <c r="R375" s="11"/>
      <c r="S375" s="11"/>
      <c r="T375" s="11"/>
      <c r="U375" s="11" t="str">
        <f>IF(AND(ROW()-1&lt;=教室申込!$K$5,教室申込!$K$7=0,COUNTA(教室申込!$C$4)=1),INDEX(展開用!$F$2:$F$601,MATCH(ROW()-1,展開用!$E$2:$E$601,0)),"")</f>
        <v/>
      </c>
      <c r="V375" s="11"/>
      <c r="W375" s="11"/>
      <c r="X375" s="11"/>
      <c r="Y375" s="11"/>
      <c r="Z375" s="11"/>
      <c r="AA375" s="11" t="str">
        <f>IF($AW375="","",IF(INDEX(教室申込!$J$1:$J$212,$AW375)="","",INDEX(教室申込!$J$1:$J$212,$AW375)))</f>
        <v/>
      </c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" t="str">
        <f>IF(AND(ROW()-1&lt;=教室申込!$K$5,教室申込!$K$7=0,COUNTA(教室申込!$C$4)=1),INDEX(展開用!$B$2:$B$601,MATCH(ROW()-1,展開用!$E$2:$E$601,0)),"")</f>
        <v/>
      </c>
      <c r="AX375" s="1"/>
      <c r="AY375" s="1"/>
    </row>
    <row r="376" spans="1:51" ht="24" customHeight="1">
      <c r="A376" s="11"/>
      <c r="B376" s="11"/>
      <c r="C376" s="11"/>
      <c r="D376" s="11"/>
      <c r="E376" s="11"/>
      <c r="F376" s="11"/>
      <c r="G376" s="11"/>
      <c r="H376" s="11" t="str">
        <f>IF(AND(ROW()-1&lt;=教室申込!$K$5,教室申込!$K$7=0,COUNTA(教室申込!$C$4)=1),INDEX(展開用!$C$2:$C$601,MATCH(ROW()-1,展開用!$E$2:$E$601,0)),"")</f>
        <v/>
      </c>
      <c r="I376" s="11" t="str">
        <f>IF(AND(ROW()-1&lt;=教室申込!$K$5,教室申込!$K$7=0,COUNTA(教室申込!$C$4)=1),INDEX(展開用!$D$2:$D$601,MATCH(ROW()-1,展開用!$E$2:$E$601,0)),"")</f>
        <v/>
      </c>
      <c r="J376" s="11"/>
      <c r="K376" s="11"/>
      <c r="L376" s="11" t="str">
        <f>IF(AND(ROW()-1&lt;=教室申込!$K$5,教室申込!$K$7=0,COUNTA(教室申込!$C$4)=1),INDEX(教室申込!$B$1:$B$212,$AW376),"")</f>
        <v/>
      </c>
      <c r="M376" s="11" t="str">
        <f>IF(AND(ROW()-1&lt;=教室申込!$K$5,教室申込!$K$7=0,COUNTA(教室申込!$C$4)=1),INDEX(教室申込!$C$1:$C$212,$AW376),"")</f>
        <v/>
      </c>
      <c r="N376" s="11"/>
      <c r="O376" s="12" t="str">
        <f>IF(AND(ROW()-1&lt;=教室申込!$K$5,教室申込!$K$7=0,COUNTA(教室申込!$C$4)=1),INDEX(展開用!$G$2:$G$601,MATCH(ROW()-1,展開用!$E$2:$E$601,0)),"")</f>
        <v/>
      </c>
      <c r="P376" s="11"/>
      <c r="Q376" s="11"/>
      <c r="R376" s="11"/>
      <c r="S376" s="11"/>
      <c r="T376" s="11"/>
      <c r="U376" s="11" t="str">
        <f>IF(AND(ROW()-1&lt;=教室申込!$K$5,教室申込!$K$7=0,COUNTA(教室申込!$C$4)=1),INDEX(展開用!$F$2:$F$601,MATCH(ROW()-1,展開用!$E$2:$E$601,0)),"")</f>
        <v/>
      </c>
      <c r="V376" s="11"/>
      <c r="W376" s="11"/>
      <c r="X376" s="11"/>
      <c r="Y376" s="11"/>
      <c r="Z376" s="11"/>
      <c r="AA376" s="11" t="str">
        <f>IF($AW376="","",IF(INDEX(教室申込!$J$1:$J$212,$AW376)="","",INDEX(教室申込!$J$1:$J$212,$AW376)))</f>
        <v/>
      </c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" t="str">
        <f>IF(AND(ROW()-1&lt;=教室申込!$K$5,教室申込!$K$7=0,COUNTA(教室申込!$C$4)=1),INDEX(展開用!$B$2:$B$601,MATCH(ROW()-1,展開用!$E$2:$E$601,0)),"")</f>
        <v/>
      </c>
      <c r="AX376" s="1"/>
      <c r="AY376" s="1"/>
    </row>
    <row r="377" spans="1:51" ht="24" customHeight="1">
      <c r="A377" s="11"/>
      <c r="B377" s="11"/>
      <c r="C377" s="11"/>
      <c r="D377" s="11"/>
      <c r="E377" s="11"/>
      <c r="F377" s="11"/>
      <c r="G377" s="11"/>
      <c r="H377" s="11" t="str">
        <f>IF(AND(ROW()-1&lt;=教室申込!$K$5,教室申込!$K$7=0,COUNTA(教室申込!$C$4)=1),INDEX(展開用!$C$2:$C$601,MATCH(ROW()-1,展開用!$E$2:$E$601,0)),"")</f>
        <v/>
      </c>
      <c r="I377" s="11" t="str">
        <f>IF(AND(ROW()-1&lt;=教室申込!$K$5,教室申込!$K$7=0,COUNTA(教室申込!$C$4)=1),INDEX(展開用!$D$2:$D$601,MATCH(ROW()-1,展開用!$E$2:$E$601,0)),"")</f>
        <v/>
      </c>
      <c r="J377" s="11"/>
      <c r="K377" s="11"/>
      <c r="L377" s="11" t="str">
        <f>IF(AND(ROW()-1&lt;=教室申込!$K$5,教室申込!$K$7=0,COUNTA(教室申込!$C$4)=1),INDEX(教室申込!$B$1:$B$212,$AW377),"")</f>
        <v/>
      </c>
      <c r="M377" s="11" t="str">
        <f>IF(AND(ROW()-1&lt;=教室申込!$K$5,教室申込!$K$7=0,COUNTA(教室申込!$C$4)=1),INDEX(教室申込!$C$1:$C$212,$AW377),"")</f>
        <v/>
      </c>
      <c r="N377" s="11"/>
      <c r="O377" s="12" t="str">
        <f>IF(AND(ROW()-1&lt;=教室申込!$K$5,教室申込!$K$7=0,COUNTA(教室申込!$C$4)=1),INDEX(展開用!$G$2:$G$601,MATCH(ROW()-1,展開用!$E$2:$E$601,0)),"")</f>
        <v/>
      </c>
      <c r="P377" s="11"/>
      <c r="Q377" s="11"/>
      <c r="R377" s="11"/>
      <c r="S377" s="11"/>
      <c r="T377" s="11"/>
      <c r="U377" s="11" t="str">
        <f>IF(AND(ROW()-1&lt;=教室申込!$K$5,教室申込!$K$7=0,COUNTA(教室申込!$C$4)=1),INDEX(展開用!$F$2:$F$601,MATCH(ROW()-1,展開用!$E$2:$E$601,0)),"")</f>
        <v/>
      </c>
      <c r="V377" s="11"/>
      <c r="W377" s="11"/>
      <c r="X377" s="11"/>
      <c r="Y377" s="11"/>
      <c r="Z377" s="11"/>
      <c r="AA377" s="11" t="str">
        <f>IF($AW377="","",IF(INDEX(教室申込!$J$1:$J$212,$AW377)="","",INDEX(教室申込!$J$1:$J$212,$AW377)))</f>
        <v/>
      </c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" t="str">
        <f>IF(AND(ROW()-1&lt;=教室申込!$K$5,教室申込!$K$7=0,COUNTA(教室申込!$C$4)=1),INDEX(展開用!$B$2:$B$601,MATCH(ROW()-1,展開用!$E$2:$E$601,0)),"")</f>
        <v/>
      </c>
      <c r="AX377" s="1"/>
      <c r="AY377" s="1"/>
    </row>
    <row r="378" spans="1:51" ht="24" customHeight="1">
      <c r="A378" s="11"/>
      <c r="B378" s="11"/>
      <c r="C378" s="11"/>
      <c r="D378" s="11"/>
      <c r="E378" s="11"/>
      <c r="F378" s="11"/>
      <c r="G378" s="11"/>
      <c r="H378" s="11" t="str">
        <f>IF(AND(ROW()-1&lt;=教室申込!$K$5,教室申込!$K$7=0,COUNTA(教室申込!$C$4)=1),INDEX(展開用!$C$2:$C$601,MATCH(ROW()-1,展開用!$E$2:$E$601,0)),"")</f>
        <v/>
      </c>
      <c r="I378" s="11" t="str">
        <f>IF(AND(ROW()-1&lt;=教室申込!$K$5,教室申込!$K$7=0,COUNTA(教室申込!$C$4)=1),INDEX(展開用!$D$2:$D$601,MATCH(ROW()-1,展開用!$E$2:$E$601,0)),"")</f>
        <v/>
      </c>
      <c r="J378" s="11"/>
      <c r="K378" s="11"/>
      <c r="L378" s="11" t="str">
        <f>IF(AND(ROW()-1&lt;=教室申込!$K$5,教室申込!$K$7=0,COUNTA(教室申込!$C$4)=1),INDEX(教室申込!$B$1:$B$212,$AW378),"")</f>
        <v/>
      </c>
      <c r="M378" s="11" t="str">
        <f>IF(AND(ROW()-1&lt;=教室申込!$K$5,教室申込!$K$7=0,COUNTA(教室申込!$C$4)=1),INDEX(教室申込!$C$1:$C$212,$AW378),"")</f>
        <v/>
      </c>
      <c r="N378" s="11"/>
      <c r="O378" s="12" t="str">
        <f>IF(AND(ROW()-1&lt;=教室申込!$K$5,教室申込!$K$7=0,COUNTA(教室申込!$C$4)=1),INDEX(展開用!$G$2:$G$601,MATCH(ROW()-1,展開用!$E$2:$E$601,0)),"")</f>
        <v/>
      </c>
      <c r="P378" s="11"/>
      <c r="Q378" s="11"/>
      <c r="R378" s="11"/>
      <c r="S378" s="11"/>
      <c r="T378" s="11"/>
      <c r="U378" s="11" t="str">
        <f>IF(AND(ROW()-1&lt;=教室申込!$K$5,教室申込!$K$7=0,COUNTA(教室申込!$C$4)=1),INDEX(展開用!$F$2:$F$601,MATCH(ROW()-1,展開用!$E$2:$E$601,0)),"")</f>
        <v/>
      </c>
      <c r="V378" s="11"/>
      <c r="W378" s="11"/>
      <c r="X378" s="11"/>
      <c r="Y378" s="11"/>
      <c r="Z378" s="11"/>
      <c r="AA378" s="11" t="str">
        <f>IF($AW378="","",IF(INDEX(教室申込!$J$1:$J$212,$AW378)="","",INDEX(教室申込!$J$1:$J$212,$AW378)))</f>
        <v/>
      </c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" t="str">
        <f>IF(AND(ROW()-1&lt;=教室申込!$K$5,教室申込!$K$7=0,COUNTA(教室申込!$C$4)=1),INDEX(展開用!$B$2:$B$601,MATCH(ROW()-1,展開用!$E$2:$E$601,0)),"")</f>
        <v/>
      </c>
      <c r="AX378" s="1"/>
      <c r="AY378" s="1"/>
    </row>
    <row r="379" spans="1:51" ht="24" customHeight="1">
      <c r="A379" s="11"/>
      <c r="B379" s="11"/>
      <c r="C379" s="11"/>
      <c r="D379" s="11"/>
      <c r="E379" s="11"/>
      <c r="F379" s="11"/>
      <c r="G379" s="11"/>
      <c r="H379" s="11" t="str">
        <f>IF(AND(ROW()-1&lt;=教室申込!$K$5,教室申込!$K$7=0,COUNTA(教室申込!$C$4)=1),INDEX(展開用!$C$2:$C$601,MATCH(ROW()-1,展開用!$E$2:$E$601,0)),"")</f>
        <v/>
      </c>
      <c r="I379" s="11" t="str">
        <f>IF(AND(ROW()-1&lt;=教室申込!$K$5,教室申込!$K$7=0,COUNTA(教室申込!$C$4)=1),INDEX(展開用!$D$2:$D$601,MATCH(ROW()-1,展開用!$E$2:$E$601,0)),"")</f>
        <v/>
      </c>
      <c r="J379" s="11"/>
      <c r="K379" s="11"/>
      <c r="L379" s="11" t="str">
        <f>IF(AND(ROW()-1&lt;=教室申込!$K$5,教室申込!$K$7=0,COUNTA(教室申込!$C$4)=1),INDEX(教室申込!$B$1:$B$212,$AW379),"")</f>
        <v/>
      </c>
      <c r="M379" s="11" t="str">
        <f>IF(AND(ROW()-1&lt;=教室申込!$K$5,教室申込!$K$7=0,COUNTA(教室申込!$C$4)=1),INDEX(教室申込!$C$1:$C$212,$AW379),"")</f>
        <v/>
      </c>
      <c r="N379" s="11"/>
      <c r="O379" s="12" t="str">
        <f>IF(AND(ROW()-1&lt;=教室申込!$K$5,教室申込!$K$7=0,COUNTA(教室申込!$C$4)=1),INDEX(展開用!$G$2:$G$601,MATCH(ROW()-1,展開用!$E$2:$E$601,0)),"")</f>
        <v/>
      </c>
      <c r="P379" s="11"/>
      <c r="Q379" s="11"/>
      <c r="R379" s="11"/>
      <c r="S379" s="11"/>
      <c r="T379" s="11"/>
      <c r="U379" s="11" t="str">
        <f>IF(AND(ROW()-1&lt;=教室申込!$K$5,教室申込!$K$7=0,COUNTA(教室申込!$C$4)=1),INDEX(展開用!$F$2:$F$601,MATCH(ROW()-1,展開用!$E$2:$E$601,0)),"")</f>
        <v/>
      </c>
      <c r="V379" s="11"/>
      <c r="W379" s="11"/>
      <c r="X379" s="11"/>
      <c r="Y379" s="11"/>
      <c r="Z379" s="11"/>
      <c r="AA379" s="11" t="str">
        <f>IF($AW379="","",IF(INDEX(教室申込!$J$1:$J$212,$AW379)="","",INDEX(教室申込!$J$1:$J$212,$AW379)))</f>
        <v/>
      </c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" t="str">
        <f>IF(AND(ROW()-1&lt;=教室申込!$K$5,教室申込!$K$7=0,COUNTA(教室申込!$C$4)=1),INDEX(展開用!$B$2:$B$601,MATCH(ROW()-1,展開用!$E$2:$E$601,0)),"")</f>
        <v/>
      </c>
      <c r="AX379" s="1"/>
      <c r="AY379" s="1"/>
    </row>
    <row r="380" spans="1:51" ht="24" customHeight="1">
      <c r="A380" s="11"/>
      <c r="B380" s="11"/>
      <c r="C380" s="11"/>
      <c r="D380" s="11"/>
      <c r="E380" s="11"/>
      <c r="F380" s="11"/>
      <c r="G380" s="11"/>
      <c r="H380" s="11" t="str">
        <f>IF(AND(ROW()-1&lt;=教室申込!$K$5,教室申込!$K$7=0,COUNTA(教室申込!$C$4)=1),INDEX(展開用!$C$2:$C$601,MATCH(ROW()-1,展開用!$E$2:$E$601,0)),"")</f>
        <v/>
      </c>
      <c r="I380" s="11" t="str">
        <f>IF(AND(ROW()-1&lt;=教室申込!$K$5,教室申込!$K$7=0,COUNTA(教室申込!$C$4)=1),INDEX(展開用!$D$2:$D$601,MATCH(ROW()-1,展開用!$E$2:$E$601,0)),"")</f>
        <v/>
      </c>
      <c r="J380" s="11"/>
      <c r="K380" s="11"/>
      <c r="L380" s="11" t="str">
        <f>IF(AND(ROW()-1&lt;=教室申込!$K$5,教室申込!$K$7=0,COUNTA(教室申込!$C$4)=1),INDEX(教室申込!$B$1:$B$212,$AW380),"")</f>
        <v/>
      </c>
      <c r="M380" s="11" t="str">
        <f>IF(AND(ROW()-1&lt;=教室申込!$K$5,教室申込!$K$7=0,COUNTA(教室申込!$C$4)=1),INDEX(教室申込!$C$1:$C$212,$AW380),"")</f>
        <v/>
      </c>
      <c r="N380" s="11"/>
      <c r="O380" s="12" t="str">
        <f>IF(AND(ROW()-1&lt;=教室申込!$K$5,教室申込!$K$7=0,COUNTA(教室申込!$C$4)=1),INDEX(展開用!$G$2:$G$601,MATCH(ROW()-1,展開用!$E$2:$E$601,0)),"")</f>
        <v/>
      </c>
      <c r="P380" s="11"/>
      <c r="Q380" s="11"/>
      <c r="R380" s="11"/>
      <c r="S380" s="11"/>
      <c r="T380" s="11"/>
      <c r="U380" s="11" t="str">
        <f>IF(AND(ROW()-1&lt;=教室申込!$K$5,教室申込!$K$7=0,COUNTA(教室申込!$C$4)=1),INDEX(展開用!$F$2:$F$601,MATCH(ROW()-1,展開用!$E$2:$E$601,0)),"")</f>
        <v/>
      </c>
      <c r="V380" s="11"/>
      <c r="W380" s="11"/>
      <c r="X380" s="11"/>
      <c r="Y380" s="11"/>
      <c r="Z380" s="11"/>
      <c r="AA380" s="11" t="str">
        <f>IF($AW380="","",IF(INDEX(教室申込!$J$1:$J$212,$AW380)="","",INDEX(教室申込!$J$1:$J$212,$AW380)))</f>
        <v/>
      </c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" t="str">
        <f>IF(AND(ROW()-1&lt;=教室申込!$K$5,教室申込!$K$7=0,COUNTA(教室申込!$C$4)=1),INDEX(展開用!$B$2:$B$601,MATCH(ROW()-1,展開用!$E$2:$E$601,0)),"")</f>
        <v/>
      </c>
      <c r="AX380" s="1"/>
      <c r="AY380" s="1"/>
    </row>
    <row r="381" spans="1:51" ht="24" customHeight="1">
      <c r="A381" s="11"/>
      <c r="B381" s="11"/>
      <c r="C381" s="11"/>
      <c r="D381" s="11"/>
      <c r="E381" s="11"/>
      <c r="F381" s="11"/>
      <c r="G381" s="11"/>
      <c r="H381" s="11" t="str">
        <f>IF(AND(ROW()-1&lt;=教室申込!$K$5,教室申込!$K$7=0,COUNTA(教室申込!$C$4)=1),INDEX(展開用!$C$2:$C$601,MATCH(ROW()-1,展開用!$E$2:$E$601,0)),"")</f>
        <v/>
      </c>
      <c r="I381" s="11" t="str">
        <f>IF(AND(ROW()-1&lt;=教室申込!$K$5,教室申込!$K$7=0,COUNTA(教室申込!$C$4)=1),INDEX(展開用!$D$2:$D$601,MATCH(ROW()-1,展開用!$E$2:$E$601,0)),"")</f>
        <v/>
      </c>
      <c r="J381" s="11"/>
      <c r="K381" s="11"/>
      <c r="L381" s="11" t="str">
        <f>IF(AND(ROW()-1&lt;=教室申込!$K$5,教室申込!$K$7=0,COUNTA(教室申込!$C$4)=1),INDEX(教室申込!$B$1:$B$212,$AW381),"")</f>
        <v/>
      </c>
      <c r="M381" s="11" t="str">
        <f>IF(AND(ROW()-1&lt;=教室申込!$K$5,教室申込!$K$7=0,COUNTA(教室申込!$C$4)=1),INDEX(教室申込!$C$1:$C$212,$AW381),"")</f>
        <v/>
      </c>
      <c r="N381" s="11"/>
      <c r="O381" s="12" t="str">
        <f>IF(AND(ROW()-1&lt;=教室申込!$K$5,教室申込!$K$7=0,COUNTA(教室申込!$C$4)=1),INDEX(展開用!$G$2:$G$601,MATCH(ROW()-1,展開用!$E$2:$E$601,0)),"")</f>
        <v/>
      </c>
      <c r="P381" s="11"/>
      <c r="Q381" s="11"/>
      <c r="R381" s="11"/>
      <c r="S381" s="11"/>
      <c r="T381" s="11"/>
      <c r="U381" s="11" t="str">
        <f>IF(AND(ROW()-1&lt;=教室申込!$K$5,教室申込!$K$7=0,COUNTA(教室申込!$C$4)=1),INDEX(展開用!$F$2:$F$601,MATCH(ROW()-1,展開用!$E$2:$E$601,0)),"")</f>
        <v/>
      </c>
      <c r="V381" s="11"/>
      <c r="W381" s="11"/>
      <c r="X381" s="11"/>
      <c r="Y381" s="11"/>
      <c r="Z381" s="11"/>
      <c r="AA381" s="11" t="str">
        <f>IF($AW381="","",IF(INDEX(教室申込!$J$1:$J$212,$AW381)="","",INDEX(教室申込!$J$1:$J$212,$AW381)))</f>
        <v/>
      </c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" t="str">
        <f>IF(AND(ROW()-1&lt;=教室申込!$K$5,教室申込!$K$7=0,COUNTA(教室申込!$C$4)=1),INDEX(展開用!$B$2:$B$601,MATCH(ROW()-1,展開用!$E$2:$E$601,0)),"")</f>
        <v/>
      </c>
      <c r="AX381" s="1"/>
      <c r="AY381" s="1"/>
    </row>
    <row r="382" spans="1:51" ht="24" customHeight="1">
      <c r="A382" s="11"/>
      <c r="B382" s="11"/>
      <c r="C382" s="11"/>
      <c r="D382" s="11"/>
      <c r="E382" s="11"/>
      <c r="F382" s="11"/>
      <c r="G382" s="11"/>
      <c r="H382" s="11" t="str">
        <f>IF(AND(ROW()-1&lt;=教室申込!$K$5,教室申込!$K$7=0,COUNTA(教室申込!$C$4)=1),INDEX(展開用!$C$2:$C$601,MATCH(ROW()-1,展開用!$E$2:$E$601,0)),"")</f>
        <v/>
      </c>
      <c r="I382" s="11" t="str">
        <f>IF(AND(ROW()-1&lt;=教室申込!$K$5,教室申込!$K$7=0,COUNTA(教室申込!$C$4)=1),INDEX(展開用!$D$2:$D$601,MATCH(ROW()-1,展開用!$E$2:$E$601,0)),"")</f>
        <v/>
      </c>
      <c r="J382" s="11"/>
      <c r="K382" s="11"/>
      <c r="L382" s="11" t="str">
        <f>IF(AND(ROW()-1&lt;=教室申込!$K$5,教室申込!$K$7=0,COUNTA(教室申込!$C$4)=1),INDEX(教室申込!$B$1:$B$212,$AW382),"")</f>
        <v/>
      </c>
      <c r="M382" s="11" t="str">
        <f>IF(AND(ROW()-1&lt;=教室申込!$K$5,教室申込!$K$7=0,COUNTA(教室申込!$C$4)=1),INDEX(教室申込!$C$1:$C$212,$AW382),"")</f>
        <v/>
      </c>
      <c r="N382" s="11"/>
      <c r="O382" s="12" t="str">
        <f>IF(AND(ROW()-1&lt;=教室申込!$K$5,教室申込!$K$7=0,COUNTA(教室申込!$C$4)=1),INDEX(展開用!$G$2:$G$601,MATCH(ROW()-1,展開用!$E$2:$E$601,0)),"")</f>
        <v/>
      </c>
      <c r="P382" s="11"/>
      <c r="Q382" s="11"/>
      <c r="R382" s="11"/>
      <c r="S382" s="11"/>
      <c r="T382" s="11"/>
      <c r="U382" s="11" t="str">
        <f>IF(AND(ROW()-1&lt;=教室申込!$K$5,教室申込!$K$7=0,COUNTA(教室申込!$C$4)=1),INDEX(展開用!$F$2:$F$601,MATCH(ROW()-1,展開用!$E$2:$E$601,0)),"")</f>
        <v/>
      </c>
      <c r="V382" s="11"/>
      <c r="W382" s="11"/>
      <c r="X382" s="11"/>
      <c r="Y382" s="11"/>
      <c r="Z382" s="11"/>
      <c r="AA382" s="11" t="str">
        <f>IF($AW382="","",IF(INDEX(教室申込!$J$1:$J$212,$AW382)="","",INDEX(教室申込!$J$1:$J$212,$AW382)))</f>
        <v/>
      </c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" t="str">
        <f>IF(AND(ROW()-1&lt;=教室申込!$K$5,教室申込!$K$7=0,COUNTA(教室申込!$C$4)=1),INDEX(展開用!$B$2:$B$601,MATCH(ROW()-1,展開用!$E$2:$E$601,0)),"")</f>
        <v/>
      </c>
      <c r="AX382" s="1"/>
      <c r="AY382" s="1"/>
    </row>
    <row r="383" spans="1:51" ht="24" customHeight="1">
      <c r="A383" s="11"/>
      <c r="B383" s="11"/>
      <c r="C383" s="11"/>
      <c r="D383" s="11"/>
      <c r="E383" s="11"/>
      <c r="F383" s="11"/>
      <c r="G383" s="11"/>
      <c r="H383" s="11" t="str">
        <f>IF(AND(ROW()-1&lt;=教室申込!$K$5,教室申込!$K$7=0,COUNTA(教室申込!$C$4)=1),INDEX(展開用!$C$2:$C$601,MATCH(ROW()-1,展開用!$E$2:$E$601,0)),"")</f>
        <v/>
      </c>
      <c r="I383" s="11" t="str">
        <f>IF(AND(ROW()-1&lt;=教室申込!$K$5,教室申込!$K$7=0,COUNTA(教室申込!$C$4)=1),INDEX(展開用!$D$2:$D$601,MATCH(ROW()-1,展開用!$E$2:$E$601,0)),"")</f>
        <v/>
      </c>
      <c r="J383" s="11"/>
      <c r="K383" s="11"/>
      <c r="L383" s="11" t="str">
        <f>IF(AND(ROW()-1&lt;=教室申込!$K$5,教室申込!$K$7=0,COUNTA(教室申込!$C$4)=1),INDEX(教室申込!$B$1:$B$212,$AW383),"")</f>
        <v/>
      </c>
      <c r="M383" s="11" t="str">
        <f>IF(AND(ROW()-1&lt;=教室申込!$K$5,教室申込!$K$7=0,COUNTA(教室申込!$C$4)=1),INDEX(教室申込!$C$1:$C$212,$AW383),"")</f>
        <v/>
      </c>
      <c r="N383" s="11"/>
      <c r="O383" s="12" t="str">
        <f>IF(AND(ROW()-1&lt;=教室申込!$K$5,教室申込!$K$7=0,COUNTA(教室申込!$C$4)=1),INDEX(展開用!$G$2:$G$601,MATCH(ROW()-1,展開用!$E$2:$E$601,0)),"")</f>
        <v/>
      </c>
      <c r="P383" s="11"/>
      <c r="Q383" s="11"/>
      <c r="R383" s="11"/>
      <c r="S383" s="11"/>
      <c r="T383" s="11"/>
      <c r="U383" s="11" t="str">
        <f>IF(AND(ROW()-1&lt;=教室申込!$K$5,教室申込!$K$7=0,COUNTA(教室申込!$C$4)=1),INDEX(展開用!$F$2:$F$601,MATCH(ROW()-1,展開用!$E$2:$E$601,0)),"")</f>
        <v/>
      </c>
      <c r="V383" s="11"/>
      <c r="W383" s="11"/>
      <c r="X383" s="11"/>
      <c r="Y383" s="11"/>
      <c r="Z383" s="11"/>
      <c r="AA383" s="11" t="str">
        <f>IF($AW383="","",IF(INDEX(教室申込!$J$1:$J$212,$AW383)="","",INDEX(教室申込!$J$1:$J$212,$AW383)))</f>
        <v/>
      </c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" t="str">
        <f>IF(AND(ROW()-1&lt;=教室申込!$K$5,教室申込!$K$7=0,COUNTA(教室申込!$C$4)=1),INDEX(展開用!$B$2:$B$601,MATCH(ROW()-1,展開用!$E$2:$E$601,0)),"")</f>
        <v/>
      </c>
      <c r="AX383" s="1"/>
      <c r="AY383" s="1"/>
    </row>
    <row r="384" spans="1:51" ht="24" customHeight="1">
      <c r="A384" s="11"/>
      <c r="B384" s="11"/>
      <c r="C384" s="11"/>
      <c r="D384" s="11"/>
      <c r="E384" s="11"/>
      <c r="F384" s="11"/>
      <c r="G384" s="11"/>
      <c r="H384" s="11" t="str">
        <f>IF(AND(ROW()-1&lt;=教室申込!$K$5,教室申込!$K$7=0,COUNTA(教室申込!$C$4)=1),INDEX(展開用!$C$2:$C$601,MATCH(ROW()-1,展開用!$E$2:$E$601,0)),"")</f>
        <v/>
      </c>
      <c r="I384" s="11" t="str">
        <f>IF(AND(ROW()-1&lt;=教室申込!$K$5,教室申込!$K$7=0,COUNTA(教室申込!$C$4)=1),INDEX(展開用!$D$2:$D$601,MATCH(ROW()-1,展開用!$E$2:$E$601,0)),"")</f>
        <v/>
      </c>
      <c r="J384" s="11"/>
      <c r="K384" s="11"/>
      <c r="L384" s="11" t="str">
        <f>IF(AND(ROW()-1&lt;=教室申込!$K$5,教室申込!$K$7=0,COUNTA(教室申込!$C$4)=1),INDEX(教室申込!$B$1:$B$212,$AW384),"")</f>
        <v/>
      </c>
      <c r="M384" s="11" t="str">
        <f>IF(AND(ROW()-1&lt;=教室申込!$K$5,教室申込!$K$7=0,COUNTA(教室申込!$C$4)=1),INDEX(教室申込!$C$1:$C$212,$AW384),"")</f>
        <v/>
      </c>
      <c r="N384" s="11"/>
      <c r="O384" s="12" t="str">
        <f>IF(AND(ROW()-1&lt;=教室申込!$K$5,教室申込!$K$7=0,COUNTA(教室申込!$C$4)=1),INDEX(展開用!$G$2:$G$601,MATCH(ROW()-1,展開用!$E$2:$E$601,0)),"")</f>
        <v/>
      </c>
      <c r="P384" s="11"/>
      <c r="Q384" s="11"/>
      <c r="R384" s="11"/>
      <c r="S384" s="11"/>
      <c r="T384" s="11"/>
      <c r="U384" s="11" t="str">
        <f>IF(AND(ROW()-1&lt;=教室申込!$K$5,教室申込!$K$7=0,COUNTA(教室申込!$C$4)=1),INDEX(展開用!$F$2:$F$601,MATCH(ROW()-1,展開用!$E$2:$E$601,0)),"")</f>
        <v/>
      </c>
      <c r="V384" s="11"/>
      <c r="W384" s="11"/>
      <c r="X384" s="11"/>
      <c r="Y384" s="11"/>
      <c r="Z384" s="11"/>
      <c r="AA384" s="11" t="str">
        <f>IF($AW384="","",IF(INDEX(教室申込!$J$1:$J$212,$AW384)="","",INDEX(教室申込!$J$1:$J$212,$AW384)))</f>
        <v/>
      </c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" t="str">
        <f>IF(AND(ROW()-1&lt;=教室申込!$K$5,教室申込!$K$7=0,COUNTA(教室申込!$C$4)=1),INDEX(展開用!$B$2:$B$601,MATCH(ROW()-1,展開用!$E$2:$E$601,0)),"")</f>
        <v/>
      </c>
      <c r="AX384" s="1"/>
      <c r="AY384" s="1"/>
    </row>
    <row r="385" spans="1:51" ht="24" customHeight="1">
      <c r="A385" s="11"/>
      <c r="B385" s="11"/>
      <c r="C385" s="11"/>
      <c r="D385" s="11"/>
      <c r="E385" s="11"/>
      <c r="F385" s="11"/>
      <c r="G385" s="11"/>
      <c r="H385" s="11" t="str">
        <f>IF(AND(ROW()-1&lt;=教室申込!$K$5,教室申込!$K$7=0,COUNTA(教室申込!$C$4)=1),INDEX(展開用!$C$2:$C$601,MATCH(ROW()-1,展開用!$E$2:$E$601,0)),"")</f>
        <v/>
      </c>
      <c r="I385" s="11" t="str">
        <f>IF(AND(ROW()-1&lt;=教室申込!$K$5,教室申込!$K$7=0,COUNTA(教室申込!$C$4)=1),INDEX(展開用!$D$2:$D$601,MATCH(ROW()-1,展開用!$E$2:$E$601,0)),"")</f>
        <v/>
      </c>
      <c r="J385" s="11"/>
      <c r="K385" s="11"/>
      <c r="L385" s="11" t="str">
        <f>IF(AND(ROW()-1&lt;=教室申込!$K$5,教室申込!$K$7=0,COUNTA(教室申込!$C$4)=1),INDEX(教室申込!$B$1:$B$212,$AW385),"")</f>
        <v/>
      </c>
      <c r="M385" s="11" t="str">
        <f>IF(AND(ROW()-1&lt;=教室申込!$K$5,教室申込!$K$7=0,COUNTA(教室申込!$C$4)=1),INDEX(教室申込!$C$1:$C$212,$AW385),"")</f>
        <v/>
      </c>
      <c r="N385" s="11"/>
      <c r="O385" s="12" t="str">
        <f>IF(AND(ROW()-1&lt;=教室申込!$K$5,教室申込!$K$7=0,COUNTA(教室申込!$C$4)=1),INDEX(展開用!$G$2:$G$601,MATCH(ROW()-1,展開用!$E$2:$E$601,0)),"")</f>
        <v/>
      </c>
      <c r="P385" s="11"/>
      <c r="Q385" s="11"/>
      <c r="R385" s="11"/>
      <c r="S385" s="11"/>
      <c r="T385" s="11"/>
      <c r="U385" s="11" t="str">
        <f>IF(AND(ROW()-1&lt;=教室申込!$K$5,教室申込!$K$7=0,COUNTA(教室申込!$C$4)=1),INDEX(展開用!$F$2:$F$601,MATCH(ROW()-1,展開用!$E$2:$E$601,0)),"")</f>
        <v/>
      </c>
      <c r="V385" s="11"/>
      <c r="W385" s="11"/>
      <c r="X385" s="11"/>
      <c r="Y385" s="11"/>
      <c r="Z385" s="11"/>
      <c r="AA385" s="11" t="str">
        <f>IF($AW385="","",IF(INDEX(教室申込!$J$1:$J$212,$AW385)="","",INDEX(教室申込!$J$1:$J$212,$AW385)))</f>
        <v/>
      </c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" t="str">
        <f>IF(AND(ROW()-1&lt;=教室申込!$K$5,教室申込!$K$7=0,COUNTA(教室申込!$C$4)=1),INDEX(展開用!$B$2:$B$601,MATCH(ROW()-1,展開用!$E$2:$E$601,0)),"")</f>
        <v/>
      </c>
      <c r="AX385" s="1"/>
      <c r="AY385" s="1"/>
    </row>
    <row r="386" spans="1:51" ht="24" customHeight="1">
      <c r="A386" s="11"/>
      <c r="B386" s="11"/>
      <c r="C386" s="11"/>
      <c r="D386" s="11"/>
      <c r="E386" s="11"/>
      <c r="F386" s="11"/>
      <c r="G386" s="11"/>
      <c r="H386" s="11" t="str">
        <f>IF(AND(ROW()-1&lt;=教室申込!$K$5,教室申込!$K$7=0,COUNTA(教室申込!$C$4)=1),INDEX(展開用!$C$2:$C$601,MATCH(ROW()-1,展開用!$E$2:$E$601,0)),"")</f>
        <v/>
      </c>
      <c r="I386" s="11" t="str">
        <f>IF(AND(ROW()-1&lt;=教室申込!$K$5,教室申込!$K$7=0,COUNTA(教室申込!$C$4)=1),INDEX(展開用!$D$2:$D$601,MATCH(ROW()-1,展開用!$E$2:$E$601,0)),"")</f>
        <v/>
      </c>
      <c r="J386" s="11"/>
      <c r="K386" s="11"/>
      <c r="L386" s="11" t="str">
        <f>IF(AND(ROW()-1&lt;=教室申込!$K$5,教室申込!$K$7=0,COUNTA(教室申込!$C$4)=1),INDEX(教室申込!$B$1:$B$212,$AW386),"")</f>
        <v/>
      </c>
      <c r="M386" s="11" t="str">
        <f>IF(AND(ROW()-1&lt;=教室申込!$K$5,教室申込!$K$7=0,COUNTA(教室申込!$C$4)=1),INDEX(教室申込!$C$1:$C$212,$AW386),"")</f>
        <v/>
      </c>
      <c r="N386" s="11"/>
      <c r="O386" s="12" t="str">
        <f>IF(AND(ROW()-1&lt;=教室申込!$K$5,教室申込!$K$7=0,COUNTA(教室申込!$C$4)=1),INDEX(展開用!$G$2:$G$601,MATCH(ROW()-1,展開用!$E$2:$E$601,0)),"")</f>
        <v/>
      </c>
      <c r="P386" s="11"/>
      <c r="Q386" s="11"/>
      <c r="R386" s="11"/>
      <c r="S386" s="11"/>
      <c r="T386" s="11"/>
      <c r="U386" s="11" t="str">
        <f>IF(AND(ROW()-1&lt;=教室申込!$K$5,教室申込!$K$7=0,COUNTA(教室申込!$C$4)=1),INDEX(展開用!$F$2:$F$601,MATCH(ROW()-1,展開用!$E$2:$E$601,0)),"")</f>
        <v/>
      </c>
      <c r="V386" s="11"/>
      <c r="W386" s="11"/>
      <c r="X386" s="11"/>
      <c r="Y386" s="11"/>
      <c r="Z386" s="11"/>
      <c r="AA386" s="11" t="str">
        <f>IF($AW386="","",IF(INDEX(教室申込!$J$1:$J$212,$AW386)="","",INDEX(教室申込!$J$1:$J$212,$AW386)))</f>
        <v/>
      </c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" t="str">
        <f>IF(AND(ROW()-1&lt;=教室申込!$K$5,教室申込!$K$7=0,COUNTA(教室申込!$C$4)=1),INDEX(展開用!$B$2:$B$601,MATCH(ROW()-1,展開用!$E$2:$E$601,0)),"")</f>
        <v/>
      </c>
      <c r="AX386" s="1"/>
      <c r="AY386" s="1"/>
    </row>
    <row r="387" spans="1:51" ht="24" customHeight="1">
      <c r="A387" s="11"/>
      <c r="B387" s="11"/>
      <c r="C387" s="11"/>
      <c r="D387" s="11"/>
      <c r="E387" s="11"/>
      <c r="F387" s="11"/>
      <c r="G387" s="11"/>
      <c r="H387" s="11" t="str">
        <f>IF(AND(ROW()-1&lt;=教室申込!$K$5,教室申込!$K$7=0,COUNTA(教室申込!$C$4)=1),INDEX(展開用!$C$2:$C$601,MATCH(ROW()-1,展開用!$E$2:$E$601,0)),"")</f>
        <v/>
      </c>
      <c r="I387" s="11" t="str">
        <f>IF(AND(ROW()-1&lt;=教室申込!$K$5,教室申込!$K$7=0,COUNTA(教室申込!$C$4)=1),INDEX(展開用!$D$2:$D$601,MATCH(ROW()-1,展開用!$E$2:$E$601,0)),"")</f>
        <v/>
      </c>
      <c r="J387" s="11"/>
      <c r="K387" s="11"/>
      <c r="L387" s="11" t="str">
        <f>IF(AND(ROW()-1&lt;=教室申込!$K$5,教室申込!$K$7=0,COUNTA(教室申込!$C$4)=1),INDEX(教室申込!$B$1:$B$212,$AW387),"")</f>
        <v/>
      </c>
      <c r="M387" s="11" t="str">
        <f>IF(AND(ROW()-1&lt;=教室申込!$K$5,教室申込!$K$7=0,COUNTA(教室申込!$C$4)=1),INDEX(教室申込!$C$1:$C$212,$AW387),"")</f>
        <v/>
      </c>
      <c r="N387" s="11"/>
      <c r="O387" s="12" t="str">
        <f>IF(AND(ROW()-1&lt;=教室申込!$K$5,教室申込!$K$7=0,COUNTA(教室申込!$C$4)=1),INDEX(展開用!$G$2:$G$601,MATCH(ROW()-1,展開用!$E$2:$E$601,0)),"")</f>
        <v/>
      </c>
      <c r="P387" s="11"/>
      <c r="Q387" s="11"/>
      <c r="R387" s="11"/>
      <c r="S387" s="11"/>
      <c r="T387" s="11"/>
      <c r="U387" s="11" t="str">
        <f>IF(AND(ROW()-1&lt;=教室申込!$K$5,教室申込!$K$7=0,COUNTA(教室申込!$C$4)=1),INDEX(展開用!$F$2:$F$601,MATCH(ROW()-1,展開用!$E$2:$E$601,0)),"")</f>
        <v/>
      </c>
      <c r="V387" s="11"/>
      <c r="W387" s="11"/>
      <c r="X387" s="11"/>
      <c r="Y387" s="11"/>
      <c r="Z387" s="11"/>
      <c r="AA387" s="11" t="str">
        <f>IF($AW387="","",IF(INDEX(教室申込!$J$1:$J$212,$AW387)="","",INDEX(教室申込!$J$1:$J$212,$AW387)))</f>
        <v/>
      </c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" t="str">
        <f>IF(AND(ROW()-1&lt;=教室申込!$K$5,教室申込!$K$7=0,COUNTA(教室申込!$C$4)=1),INDEX(展開用!$B$2:$B$601,MATCH(ROW()-1,展開用!$E$2:$E$601,0)),"")</f>
        <v/>
      </c>
      <c r="AX387" s="1"/>
      <c r="AY387" s="1"/>
    </row>
    <row r="388" spans="1:51" ht="24" customHeight="1">
      <c r="A388" s="11"/>
      <c r="B388" s="11"/>
      <c r="C388" s="11"/>
      <c r="D388" s="11"/>
      <c r="E388" s="11"/>
      <c r="F388" s="11"/>
      <c r="G388" s="11"/>
      <c r="H388" s="11" t="str">
        <f>IF(AND(ROW()-1&lt;=教室申込!$K$5,教室申込!$K$7=0,COUNTA(教室申込!$C$4)=1),INDEX(展開用!$C$2:$C$601,MATCH(ROW()-1,展開用!$E$2:$E$601,0)),"")</f>
        <v/>
      </c>
      <c r="I388" s="11" t="str">
        <f>IF(AND(ROW()-1&lt;=教室申込!$K$5,教室申込!$K$7=0,COUNTA(教室申込!$C$4)=1),INDEX(展開用!$D$2:$D$601,MATCH(ROW()-1,展開用!$E$2:$E$601,0)),"")</f>
        <v/>
      </c>
      <c r="J388" s="11"/>
      <c r="K388" s="11"/>
      <c r="L388" s="11" t="str">
        <f>IF(AND(ROW()-1&lt;=教室申込!$K$5,教室申込!$K$7=0,COUNTA(教室申込!$C$4)=1),INDEX(教室申込!$B$1:$B$212,$AW388),"")</f>
        <v/>
      </c>
      <c r="M388" s="11" t="str">
        <f>IF(AND(ROW()-1&lt;=教室申込!$K$5,教室申込!$K$7=0,COUNTA(教室申込!$C$4)=1),INDEX(教室申込!$C$1:$C$212,$AW388),"")</f>
        <v/>
      </c>
      <c r="N388" s="11"/>
      <c r="O388" s="12" t="str">
        <f>IF(AND(ROW()-1&lt;=教室申込!$K$5,教室申込!$K$7=0,COUNTA(教室申込!$C$4)=1),INDEX(展開用!$G$2:$G$601,MATCH(ROW()-1,展開用!$E$2:$E$601,0)),"")</f>
        <v/>
      </c>
      <c r="P388" s="11"/>
      <c r="Q388" s="11"/>
      <c r="R388" s="11"/>
      <c r="S388" s="11"/>
      <c r="T388" s="11"/>
      <c r="U388" s="11" t="str">
        <f>IF(AND(ROW()-1&lt;=教室申込!$K$5,教室申込!$K$7=0,COUNTA(教室申込!$C$4)=1),INDEX(展開用!$F$2:$F$601,MATCH(ROW()-1,展開用!$E$2:$E$601,0)),"")</f>
        <v/>
      </c>
      <c r="V388" s="11"/>
      <c r="W388" s="11"/>
      <c r="X388" s="11"/>
      <c r="Y388" s="11"/>
      <c r="Z388" s="11"/>
      <c r="AA388" s="11" t="str">
        <f>IF($AW388="","",IF(INDEX(教室申込!$J$1:$J$212,$AW388)="","",INDEX(教室申込!$J$1:$J$212,$AW388)))</f>
        <v/>
      </c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" t="str">
        <f>IF(AND(ROW()-1&lt;=教室申込!$K$5,教室申込!$K$7=0,COUNTA(教室申込!$C$4)=1),INDEX(展開用!$B$2:$B$601,MATCH(ROW()-1,展開用!$E$2:$E$601,0)),"")</f>
        <v/>
      </c>
      <c r="AX388" s="1"/>
      <c r="AY388" s="1"/>
    </row>
    <row r="389" spans="1:51" ht="24" customHeight="1">
      <c r="A389" s="11"/>
      <c r="B389" s="11"/>
      <c r="C389" s="11"/>
      <c r="D389" s="11"/>
      <c r="E389" s="11"/>
      <c r="F389" s="11"/>
      <c r="G389" s="11"/>
      <c r="H389" s="11" t="str">
        <f>IF(AND(ROW()-1&lt;=教室申込!$K$5,教室申込!$K$7=0,COUNTA(教室申込!$C$4)=1),INDEX(展開用!$C$2:$C$601,MATCH(ROW()-1,展開用!$E$2:$E$601,0)),"")</f>
        <v/>
      </c>
      <c r="I389" s="11" t="str">
        <f>IF(AND(ROW()-1&lt;=教室申込!$K$5,教室申込!$K$7=0,COUNTA(教室申込!$C$4)=1),INDEX(展開用!$D$2:$D$601,MATCH(ROW()-1,展開用!$E$2:$E$601,0)),"")</f>
        <v/>
      </c>
      <c r="J389" s="11"/>
      <c r="K389" s="11"/>
      <c r="L389" s="11" t="str">
        <f>IF(AND(ROW()-1&lt;=教室申込!$K$5,教室申込!$K$7=0,COUNTA(教室申込!$C$4)=1),INDEX(教室申込!$B$1:$B$212,$AW389),"")</f>
        <v/>
      </c>
      <c r="M389" s="11" t="str">
        <f>IF(AND(ROW()-1&lt;=教室申込!$K$5,教室申込!$K$7=0,COUNTA(教室申込!$C$4)=1),INDEX(教室申込!$C$1:$C$212,$AW389),"")</f>
        <v/>
      </c>
      <c r="N389" s="11"/>
      <c r="O389" s="12" t="str">
        <f>IF(AND(ROW()-1&lt;=教室申込!$K$5,教室申込!$K$7=0,COUNTA(教室申込!$C$4)=1),INDEX(展開用!$G$2:$G$601,MATCH(ROW()-1,展開用!$E$2:$E$601,0)),"")</f>
        <v/>
      </c>
      <c r="P389" s="11"/>
      <c r="Q389" s="11"/>
      <c r="R389" s="11"/>
      <c r="S389" s="11"/>
      <c r="T389" s="11"/>
      <c r="U389" s="11" t="str">
        <f>IF(AND(ROW()-1&lt;=教室申込!$K$5,教室申込!$K$7=0,COUNTA(教室申込!$C$4)=1),INDEX(展開用!$F$2:$F$601,MATCH(ROW()-1,展開用!$E$2:$E$601,0)),"")</f>
        <v/>
      </c>
      <c r="V389" s="11"/>
      <c r="W389" s="11"/>
      <c r="X389" s="11"/>
      <c r="Y389" s="11"/>
      <c r="Z389" s="11"/>
      <c r="AA389" s="11" t="str">
        <f>IF($AW389="","",IF(INDEX(教室申込!$J$1:$J$212,$AW389)="","",INDEX(教室申込!$J$1:$J$212,$AW389)))</f>
        <v/>
      </c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" t="str">
        <f>IF(AND(ROW()-1&lt;=教室申込!$K$5,教室申込!$K$7=0,COUNTA(教室申込!$C$4)=1),INDEX(展開用!$B$2:$B$601,MATCH(ROW()-1,展開用!$E$2:$E$601,0)),"")</f>
        <v/>
      </c>
      <c r="AX389" s="1"/>
      <c r="AY389" s="1"/>
    </row>
    <row r="390" spans="1:51" ht="24" customHeight="1">
      <c r="A390" s="11"/>
      <c r="B390" s="11"/>
      <c r="C390" s="11"/>
      <c r="D390" s="11"/>
      <c r="E390" s="11"/>
      <c r="F390" s="11"/>
      <c r="G390" s="11"/>
      <c r="H390" s="11" t="str">
        <f>IF(AND(ROW()-1&lt;=教室申込!$K$5,教室申込!$K$7=0,COUNTA(教室申込!$C$4)=1),INDEX(展開用!$C$2:$C$601,MATCH(ROW()-1,展開用!$E$2:$E$601,0)),"")</f>
        <v/>
      </c>
      <c r="I390" s="11" t="str">
        <f>IF(AND(ROW()-1&lt;=教室申込!$K$5,教室申込!$K$7=0,COUNTA(教室申込!$C$4)=1),INDEX(展開用!$D$2:$D$601,MATCH(ROW()-1,展開用!$E$2:$E$601,0)),"")</f>
        <v/>
      </c>
      <c r="J390" s="11"/>
      <c r="K390" s="11"/>
      <c r="L390" s="11" t="str">
        <f>IF(AND(ROW()-1&lt;=教室申込!$K$5,教室申込!$K$7=0,COUNTA(教室申込!$C$4)=1),INDEX(教室申込!$B$1:$B$212,$AW390),"")</f>
        <v/>
      </c>
      <c r="M390" s="11" t="str">
        <f>IF(AND(ROW()-1&lt;=教室申込!$K$5,教室申込!$K$7=0,COUNTA(教室申込!$C$4)=1),INDEX(教室申込!$C$1:$C$212,$AW390),"")</f>
        <v/>
      </c>
      <c r="N390" s="11"/>
      <c r="O390" s="12" t="str">
        <f>IF(AND(ROW()-1&lt;=教室申込!$K$5,教室申込!$K$7=0,COUNTA(教室申込!$C$4)=1),INDEX(展開用!$G$2:$G$601,MATCH(ROW()-1,展開用!$E$2:$E$601,0)),"")</f>
        <v/>
      </c>
      <c r="P390" s="11"/>
      <c r="Q390" s="11"/>
      <c r="R390" s="11"/>
      <c r="S390" s="11"/>
      <c r="T390" s="11"/>
      <c r="U390" s="11" t="str">
        <f>IF(AND(ROW()-1&lt;=教室申込!$K$5,教室申込!$K$7=0,COUNTA(教室申込!$C$4)=1),INDEX(展開用!$F$2:$F$601,MATCH(ROW()-1,展開用!$E$2:$E$601,0)),"")</f>
        <v/>
      </c>
      <c r="V390" s="11"/>
      <c r="W390" s="11"/>
      <c r="X390" s="11"/>
      <c r="Y390" s="11"/>
      <c r="Z390" s="11"/>
      <c r="AA390" s="11" t="str">
        <f>IF($AW390="","",IF(INDEX(教室申込!$J$1:$J$212,$AW390)="","",INDEX(教室申込!$J$1:$J$212,$AW390)))</f>
        <v/>
      </c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" t="str">
        <f>IF(AND(ROW()-1&lt;=教室申込!$K$5,教室申込!$K$7=0,COUNTA(教室申込!$C$4)=1),INDEX(展開用!$B$2:$B$601,MATCH(ROW()-1,展開用!$E$2:$E$601,0)),"")</f>
        <v/>
      </c>
      <c r="AX390" s="1"/>
      <c r="AY390" s="1"/>
    </row>
    <row r="391" spans="1:51" ht="24" customHeight="1">
      <c r="A391" s="11"/>
      <c r="B391" s="11"/>
      <c r="C391" s="11"/>
      <c r="D391" s="11"/>
      <c r="E391" s="11"/>
      <c r="F391" s="11"/>
      <c r="G391" s="11"/>
      <c r="H391" s="11" t="str">
        <f>IF(AND(ROW()-1&lt;=教室申込!$K$5,教室申込!$K$7=0,COUNTA(教室申込!$C$4)=1),INDEX(展開用!$C$2:$C$601,MATCH(ROW()-1,展開用!$E$2:$E$601,0)),"")</f>
        <v/>
      </c>
      <c r="I391" s="11" t="str">
        <f>IF(AND(ROW()-1&lt;=教室申込!$K$5,教室申込!$K$7=0,COUNTA(教室申込!$C$4)=1),INDEX(展開用!$D$2:$D$601,MATCH(ROW()-1,展開用!$E$2:$E$601,0)),"")</f>
        <v/>
      </c>
      <c r="J391" s="11"/>
      <c r="K391" s="11"/>
      <c r="L391" s="11" t="str">
        <f>IF(AND(ROW()-1&lt;=教室申込!$K$5,教室申込!$K$7=0,COUNTA(教室申込!$C$4)=1),INDEX(教室申込!$B$1:$B$212,$AW391),"")</f>
        <v/>
      </c>
      <c r="M391" s="11" t="str">
        <f>IF(AND(ROW()-1&lt;=教室申込!$K$5,教室申込!$K$7=0,COUNTA(教室申込!$C$4)=1),INDEX(教室申込!$C$1:$C$212,$AW391),"")</f>
        <v/>
      </c>
      <c r="N391" s="11"/>
      <c r="O391" s="12" t="str">
        <f>IF(AND(ROW()-1&lt;=教室申込!$K$5,教室申込!$K$7=0,COUNTA(教室申込!$C$4)=1),INDEX(展開用!$G$2:$G$601,MATCH(ROW()-1,展開用!$E$2:$E$601,0)),"")</f>
        <v/>
      </c>
      <c r="P391" s="11"/>
      <c r="Q391" s="11"/>
      <c r="R391" s="11"/>
      <c r="S391" s="11"/>
      <c r="T391" s="11"/>
      <c r="U391" s="11" t="str">
        <f>IF(AND(ROW()-1&lt;=教室申込!$K$5,教室申込!$K$7=0,COUNTA(教室申込!$C$4)=1),INDEX(展開用!$F$2:$F$601,MATCH(ROW()-1,展開用!$E$2:$E$601,0)),"")</f>
        <v/>
      </c>
      <c r="V391" s="11"/>
      <c r="W391" s="11"/>
      <c r="X391" s="11"/>
      <c r="Y391" s="11"/>
      <c r="Z391" s="11"/>
      <c r="AA391" s="11" t="str">
        <f>IF($AW391="","",IF(INDEX(教室申込!$J$1:$J$212,$AW391)="","",INDEX(教室申込!$J$1:$J$212,$AW391)))</f>
        <v/>
      </c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" t="str">
        <f>IF(AND(ROW()-1&lt;=教室申込!$K$5,教室申込!$K$7=0,COUNTA(教室申込!$C$4)=1),INDEX(展開用!$B$2:$B$601,MATCH(ROW()-1,展開用!$E$2:$E$601,0)),"")</f>
        <v/>
      </c>
      <c r="AX391" s="1"/>
      <c r="AY391" s="1"/>
    </row>
    <row r="392" spans="1:51" ht="24" customHeight="1">
      <c r="A392" s="11"/>
      <c r="B392" s="11"/>
      <c r="C392" s="11"/>
      <c r="D392" s="11"/>
      <c r="E392" s="11"/>
      <c r="F392" s="11"/>
      <c r="G392" s="11"/>
      <c r="H392" s="11" t="str">
        <f>IF(AND(ROW()-1&lt;=教室申込!$K$5,教室申込!$K$7=0,COUNTA(教室申込!$C$4)=1),INDEX(展開用!$C$2:$C$601,MATCH(ROW()-1,展開用!$E$2:$E$601,0)),"")</f>
        <v/>
      </c>
      <c r="I392" s="11" t="str">
        <f>IF(AND(ROW()-1&lt;=教室申込!$K$5,教室申込!$K$7=0,COUNTA(教室申込!$C$4)=1),INDEX(展開用!$D$2:$D$601,MATCH(ROW()-1,展開用!$E$2:$E$601,0)),"")</f>
        <v/>
      </c>
      <c r="J392" s="11"/>
      <c r="K392" s="11"/>
      <c r="L392" s="11" t="str">
        <f>IF(AND(ROW()-1&lt;=教室申込!$K$5,教室申込!$K$7=0,COUNTA(教室申込!$C$4)=1),INDEX(教室申込!$B$1:$B$212,$AW392),"")</f>
        <v/>
      </c>
      <c r="M392" s="11" t="str">
        <f>IF(AND(ROW()-1&lt;=教室申込!$K$5,教室申込!$K$7=0,COUNTA(教室申込!$C$4)=1),INDEX(教室申込!$C$1:$C$212,$AW392),"")</f>
        <v/>
      </c>
      <c r="N392" s="11"/>
      <c r="O392" s="12" t="str">
        <f>IF(AND(ROW()-1&lt;=教室申込!$K$5,教室申込!$K$7=0,COUNTA(教室申込!$C$4)=1),INDEX(展開用!$G$2:$G$601,MATCH(ROW()-1,展開用!$E$2:$E$601,0)),"")</f>
        <v/>
      </c>
      <c r="P392" s="11"/>
      <c r="Q392" s="11"/>
      <c r="R392" s="11"/>
      <c r="S392" s="11"/>
      <c r="T392" s="11"/>
      <c r="U392" s="11" t="str">
        <f>IF(AND(ROW()-1&lt;=教室申込!$K$5,教室申込!$K$7=0,COUNTA(教室申込!$C$4)=1),INDEX(展開用!$F$2:$F$601,MATCH(ROW()-1,展開用!$E$2:$E$601,0)),"")</f>
        <v/>
      </c>
      <c r="V392" s="11"/>
      <c r="W392" s="11"/>
      <c r="X392" s="11"/>
      <c r="Y392" s="11"/>
      <c r="Z392" s="11"/>
      <c r="AA392" s="11" t="str">
        <f>IF($AW392="","",IF(INDEX(教室申込!$J$1:$J$212,$AW392)="","",INDEX(教室申込!$J$1:$J$212,$AW392)))</f>
        <v/>
      </c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" t="str">
        <f>IF(AND(ROW()-1&lt;=教室申込!$K$5,教室申込!$K$7=0,COUNTA(教室申込!$C$4)=1),INDEX(展開用!$B$2:$B$601,MATCH(ROW()-1,展開用!$E$2:$E$601,0)),"")</f>
        <v/>
      </c>
      <c r="AX392" s="1"/>
      <c r="AY392" s="1"/>
    </row>
    <row r="393" spans="1:51" ht="24" customHeight="1">
      <c r="A393" s="11"/>
      <c r="B393" s="11"/>
      <c r="C393" s="11"/>
      <c r="D393" s="11"/>
      <c r="E393" s="11"/>
      <c r="F393" s="11"/>
      <c r="G393" s="11"/>
      <c r="H393" s="11" t="str">
        <f>IF(AND(ROW()-1&lt;=教室申込!$K$5,教室申込!$K$7=0,COUNTA(教室申込!$C$4)=1),INDEX(展開用!$C$2:$C$601,MATCH(ROW()-1,展開用!$E$2:$E$601,0)),"")</f>
        <v/>
      </c>
      <c r="I393" s="11" t="str">
        <f>IF(AND(ROW()-1&lt;=教室申込!$K$5,教室申込!$K$7=0,COUNTA(教室申込!$C$4)=1),INDEX(展開用!$D$2:$D$601,MATCH(ROW()-1,展開用!$E$2:$E$601,0)),"")</f>
        <v/>
      </c>
      <c r="J393" s="11"/>
      <c r="K393" s="11"/>
      <c r="L393" s="11" t="str">
        <f>IF(AND(ROW()-1&lt;=教室申込!$K$5,教室申込!$K$7=0,COUNTA(教室申込!$C$4)=1),INDEX(教室申込!$B$1:$B$212,$AW393),"")</f>
        <v/>
      </c>
      <c r="M393" s="11" t="str">
        <f>IF(AND(ROW()-1&lt;=教室申込!$K$5,教室申込!$K$7=0,COUNTA(教室申込!$C$4)=1),INDEX(教室申込!$C$1:$C$212,$AW393),"")</f>
        <v/>
      </c>
      <c r="N393" s="11"/>
      <c r="O393" s="12" t="str">
        <f>IF(AND(ROW()-1&lt;=教室申込!$K$5,教室申込!$K$7=0,COUNTA(教室申込!$C$4)=1),INDEX(展開用!$G$2:$G$601,MATCH(ROW()-1,展開用!$E$2:$E$601,0)),"")</f>
        <v/>
      </c>
      <c r="P393" s="11"/>
      <c r="Q393" s="11"/>
      <c r="R393" s="11"/>
      <c r="S393" s="11"/>
      <c r="T393" s="11"/>
      <c r="U393" s="11" t="str">
        <f>IF(AND(ROW()-1&lt;=教室申込!$K$5,教室申込!$K$7=0,COUNTA(教室申込!$C$4)=1),INDEX(展開用!$F$2:$F$601,MATCH(ROW()-1,展開用!$E$2:$E$601,0)),"")</f>
        <v/>
      </c>
      <c r="V393" s="11"/>
      <c r="W393" s="11"/>
      <c r="X393" s="11"/>
      <c r="Y393" s="11"/>
      <c r="Z393" s="11"/>
      <c r="AA393" s="11" t="str">
        <f>IF($AW393="","",IF(INDEX(教室申込!$J$1:$J$212,$AW393)="","",INDEX(教室申込!$J$1:$J$212,$AW393)))</f>
        <v/>
      </c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" t="str">
        <f>IF(AND(ROW()-1&lt;=教室申込!$K$5,教室申込!$K$7=0,COUNTA(教室申込!$C$4)=1),INDEX(展開用!$B$2:$B$601,MATCH(ROW()-1,展開用!$E$2:$E$601,0)),"")</f>
        <v/>
      </c>
      <c r="AX393" s="1"/>
      <c r="AY393" s="1"/>
    </row>
    <row r="394" spans="1:51" ht="24" customHeight="1">
      <c r="A394" s="11"/>
      <c r="B394" s="11"/>
      <c r="C394" s="11"/>
      <c r="D394" s="11"/>
      <c r="E394" s="11"/>
      <c r="F394" s="11"/>
      <c r="G394" s="11"/>
      <c r="H394" s="11" t="str">
        <f>IF(AND(ROW()-1&lt;=教室申込!$K$5,教室申込!$K$7=0,COUNTA(教室申込!$C$4)=1),INDEX(展開用!$C$2:$C$601,MATCH(ROW()-1,展開用!$E$2:$E$601,0)),"")</f>
        <v/>
      </c>
      <c r="I394" s="11" t="str">
        <f>IF(AND(ROW()-1&lt;=教室申込!$K$5,教室申込!$K$7=0,COUNTA(教室申込!$C$4)=1),INDEX(展開用!$D$2:$D$601,MATCH(ROW()-1,展開用!$E$2:$E$601,0)),"")</f>
        <v/>
      </c>
      <c r="J394" s="11"/>
      <c r="K394" s="11"/>
      <c r="L394" s="11" t="str">
        <f>IF(AND(ROW()-1&lt;=教室申込!$K$5,教室申込!$K$7=0,COUNTA(教室申込!$C$4)=1),INDEX(教室申込!$B$1:$B$212,$AW394),"")</f>
        <v/>
      </c>
      <c r="M394" s="11" t="str">
        <f>IF(AND(ROW()-1&lt;=教室申込!$K$5,教室申込!$K$7=0,COUNTA(教室申込!$C$4)=1),INDEX(教室申込!$C$1:$C$212,$AW394),"")</f>
        <v/>
      </c>
      <c r="N394" s="11"/>
      <c r="O394" s="12" t="str">
        <f>IF(AND(ROW()-1&lt;=教室申込!$K$5,教室申込!$K$7=0,COUNTA(教室申込!$C$4)=1),INDEX(展開用!$G$2:$G$601,MATCH(ROW()-1,展開用!$E$2:$E$601,0)),"")</f>
        <v/>
      </c>
      <c r="P394" s="11"/>
      <c r="Q394" s="11"/>
      <c r="R394" s="11"/>
      <c r="S394" s="11"/>
      <c r="T394" s="11"/>
      <c r="U394" s="11" t="str">
        <f>IF(AND(ROW()-1&lt;=教室申込!$K$5,教室申込!$K$7=0,COUNTA(教室申込!$C$4)=1),INDEX(展開用!$F$2:$F$601,MATCH(ROW()-1,展開用!$E$2:$E$601,0)),"")</f>
        <v/>
      </c>
      <c r="V394" s="11"/>
      <c r="W394" s="11"/>
      <c r="X394" s="11"/>
      <c r="Y394" s="11"/>
      <c r="Z394" s="11"/>
      <c r="AA394" s="11" t="str">
        <f>IF($AW394="","",IF(INDEX(教室申込!$J$1:$J$212,$AW394)="","",INDEX(教室申込!$J$1:$J$212,$AW394)))</f>
        <v/>
      </c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" t="str">
        <f>IF(AND(ROW()-1&lt;=教室申込!$K$5,教室申込!$K$7=0,COUNTA(教室申込!$C$4)=1),INDEX(展開用!$B$2:$B$601,MATCH(ROW()-1,展開用!$E$2:$E$601,0)),"")</f>
        <v/>
      </c>
      <c r="AX394" s="1"/>
      <c r="AY394" s="1"/>
    </row>
    <row r="395" spans="1:51" ht="24" customHeight="1">
      <c r="A395" s="11"/>
      <c r="B395" s="11"/>
      <c r="C395" s="11"/>
      <c r="D395" s="11"/>
      <c r="E395" s="11"/>
      <c r="F395" s="11"/>
      <c r="G395" s="11"/>
      <c r="H395" s="11" t="str">
        <f>IF(AND(ROW()-1&lt;=教室申込!$K$5,教室申込!$K$7=0,COUNTA(教室申込!$C$4)=1),INDEX(展開用!$C$2:$C$601,MATCH(ROW()-1,展開用!$E$2:$E$601,0)),"")</f>
        <v/>
      </c>
      <c r="I395" s="11" t="str">
        <f>IF(AND(ROW()-1&lt;=教室申込!$K$5,教室申込!$K$7=0,COUNTA(教室申込!$C$4)=1),INDEX(展開用!$D$2:$D$601,MATCH(ROW()-1,展開用!$E$2:$E$601,0)),"")</f>
        <v/>
      </c>
      <c r="J395" s="11"/>
      <c r="K395" s="11"/>
      <c r="L395" s="11" t="str">
        <f>IF(AND(ROW()-1&lt;=教室申込!$K$5,教室申込!$K$7=0,COUNTA(教室申込!$C$4)=1),INDEX(教室申込!$B$1:$B$212,$AW395),"")</f>
        <v/>
      </c>
      <c r="M395" s="11" t="str">
        <f>IF(AND(ROW()-1&lt;=教室申込!$K$5,教室申込!$K$7=0,COUNTA(教室申込!$C$4)=1),INDEX(教室申込!$C$1:$C$212,$AW395),"")</f>
        <v/>
      </c>
      <c r="N395" s="11"/>
      <c r="O395" s="12" t="str">
        <f>IF(AND(ROW()-1&lt;=教室申込!$K$5,教室申込!$K$7=0,COUNTA(教室申込!$C$4)=1),INDEX(展開用!$G$2:$G$601,MATCH(ROW()-1,展開用!$E$2:$E$601,0)),"")</f>
        <v/>
      </c>
      <c r="P395" s="11"/>
      <c r="Q395" s="11"/>
      <c r="R395" s="11"/>
      <c r="S395" s="11"/>
      <c r="T395" s="11"/>
      <c r="U395" s="11" t="str">
        <f>IF(AND(ROW()-1&lt;=教室申込!$K$5,教室申込!$K$7=0,COUNTA(教室申込!$C$4)=1),INDEX(展開用!$F$2:$F$601,MATCH(ROW()-1,展開用!$E$2:$E$601,0)),"")</f>
        <v/>
      </c>
      <c r="V395" s="11"/>
      <c r="W395" s="11"/>
      <c r="X395" s="11"/>
      <c r="Y395" s="11"/>
      <c r="Z395" s="11"/>
      <c r="AA395" s="11" t="str">
        <f>IF($AW395="","",IF(INDEX(教室申込!$J$1:$J$212,$AW395)="","",INDEX(教室申込!$J$1:$J$212,$AW395)))</f>
        <v/>
      </c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" t="str">
        <f>IF(AND(ROW()-1&lt;=教室申込!$K$5,教室申込!$K$7=0,COUNTA(教室申込!$C$4)=1),INDEX(展開用!$B$2:$B$601,MATCH(ROW()-1,展開用!$E$2:$E$601,0)),"")</f>
        <v/>
      </c>
      <c r="AX395" s="1"/>
      <c r="AY395" s="1"/>
    </row>
    <row r="396" spans="1:51" ht="24" customHeight="1">
      <c r="A396" s="11"/>
      <c r="B396" s="11"/>
      <c r="C396" s="11"/>
      <c r="D396" s="11"/>
      <c r="E396" s="11"/>
      <c r="F396" s="11"/>
      <c r="G396" s="11"/>
      <c r="H396" s="11" t="str">
        <f>IF(AND(ROW()-1&lt;=教室申込!$K$5,教室申込!$K$7=0,COUNTA(教室申込!$C$4)=1),INDEX(展開用!$C$2:$C$601,MATCH(ROW()-1,展開用!$E$2:$E$601,0)),"")</f>
        <v/>
      </c>
      <c r="I396" s="11" t="str">
        <f>IF(AND(ROW()-1&lt;=教室申込!$K$5,教室申込!$K$7=0,COUNTA(教室申込!$C$4)=1),INDEX(展開用!$D$2:$D$601,MATCH(ROW()-1,展開用!$E$2:$E$601,0)),"")</f>
        <v/>
      </c>
      <c r="J396" s="11"/>
      <c r="K396" s="11"/>
      <c r="L396" s="11" t="str">
        <f>IF(AND(ROW()-1&lt;=教室申込!$K$5,教室申込!$K$7=0,COUNTA(教室申込!$C$4)=1),INDEX(教室申込!$B$1:$B$212,$AW396),"")</f>
        <v/>
      </c>
      <c r="M396" s="11" t="str">
        <f>IF(AND(ROW()-1&lt;=教室申込!$K$5,教室申込!$K$7=0,COUNTA(教室申込!$C$4)=1),INDEX(教室申込!$C$1:$C$212,$AW396),"")</f>
        <v/>
      </c>
      <c r="N396" s="11"/>
      <c r="O396" s="12" t="str">
        <f>IF(AND(ROW()-1&lt;=教室申込!$K$5,教室申込!$K$7=0,COUNTA(教室申込!$C$4)=1),INDEX(展開用!$G$2:$G$601,MATCH(ROW()-1,展開用!$E$2:$E$601,0)),"")</f>
        <v/>
      </c>
      <c r="P396" s="11"/>
      <c r="Q396" s="11"/>
      <c r="R396" s="11"/>
      <c r="S396" s="11"/>
      <c r="T396" s="11"/>
      <c r="U396" s="11" t="str">
        <f>IF(AND(ROW()-1&lt;=教室申込!$K$5,教室申込!$K$7=0,COUNTA(教室申込!$C$4)=1),INDEX(展開用!$F$2:$F$601,MATCH(ROW()-1,展開用!$E$2:$E$601,0)),"")</f>
        <v/>
      </c>
      <c r="V396" s="11"/>
      <c r="W396" s="11"/>
      <c r="X396" s="11"/>
      <c r="Y396" s="11"/>
      <c r="Z396" s="11"/>
      <c r="AA396" s="11" t="str">
        <f>IF($AW396="","",IF(INDEX(教室申込!$J$1:$J$212,$AW396)="","",INDEX(教室申込!$J$1:$J$212,$AW396)))</f>
        <v/>
      </c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" t="str">
        <f>IF(AND(ROW()-1&lt;=教室申込!$K$5,教室申込!$K$7=0,COUNTA(教室申込!$C$4)=1),INDEX(展開用!$B$2:$B$601,MATCH(ROW()-1,展開用!$E$2:$E$601,0)),"")</f>
        <v/>
      </c>
      <c r="AX396" s="1"/>
      <c r="AY396" s="1"/>
    </row>
    <row r="397" spans="1:51" ht="24" customHeight="1">
      <c r="A397" s="11"/>
      <c r="B397" s="11"/>
      <c r="C397" s="11"/>
      <c r="D397" s="11"/>
      <c r="E397" s="11"/>
      <c r="F397" s="11"/>
      <c r="G397" s="11"/>
      <c r="H397" s="11" t="str">
        <f>IF(AND(ROW()-1&lt;=教室申込!$K$5,教室申込!$K$7=0,COUNTA(教室申込!$C$4)=1),INDEX(展開用!$C$2:$C$601,MATCH(ROW()-1,展開用!$E$2:$E$601,0)),"")</f>
        <v/>
      </c>
      <c r="I397" s="11" t="str">
        <f>IF(AND(ROW()-1&lt;=教室申込!$K$5,教室申込!$K$7=0,COUNTA(教室申込!$C$4)=1),INDEX(展開用!$D$2:$D$601,MATCH(ROW()-1,展開用!$E$2:$E$601,0)),"")</f>
        <v/>
      </c>
      <c r="J397" s="11"/>
      <c r="K397" s="11"/>
      <c r="L397" s="11" t="str">
        <f>IF(AND(ROW()-1&lt;=教室申込!$K$5,教室申込!$K$7=0,COUNTA(教室申込!$C$4)=1),INDEX(教室申込!$B$1:$B$212,$AW397),"")</f>
        <v/>
      </c>
      <c r="M397" s="11" t="str">
        <f>IF(AND(ROW()-1&lt;=教室申込!$K$5,教室申込!$K$7=0,COUNTA(教室申込!$C$4)=1),INDEX(教室申込!$C$1:$C$212,$AW397),"")</f>
        <v/>
      </c>
      <c r="N397" s="11"/>
      <c r="O397" s="12" t="str">
        <f>IF(AND(ROW()-1&lt;=教室申込!$K$5,教室申込!$K$7=0,COUNTA(教室申込!$C$4)=1),INDEX(展開用!$G$2:$G$601,MATCH(ROW()-1,展開用!$E$2:$E$601,0)),"")</f>
        <v/>
      </c>
      <c r="P397" s="11"/>
      <c r="Q397" s="11"/>
      <c r="R397" s="11"/>
      <c r="S397" s="11"/>
      <c r="T397" s="11"/>
      <c r="U397" s="11" t="str">
        <f>IF(AND(ROW()-1&lt;=教室申込!$K$5,教室申込!$K$7=0,COUNTA(教室申込!$C$4)=1),INDEX(展開用!$F$2:$F$601,MATCH(ROW()-1,展開用!$E$2:$E$601,0)),"")</f>
        <v/>
      </c>
      <c r="V397" s="11"/>
      <c r="W397" s="11"/>
      <c r="X397" s="11"/>
      <c r="Y397" s="11"/>
      <c r="Z397" s="11"/>
      <c r="AA397" s="11" t="str">
        <f>IF($AW397="","",IF(INDEX(教室申込!$J$1:$J$212,$AW397)="","",INDEX(教室申込!$J$1:$J$212,$AW397)))</f>
        <v/>
      </c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" t="str">
        <f>IF(AND(ROW()-1&lt;=教室申込!$K$5,教室申込!$K$7=0,COUNTA(教室申込!$C$4)=1),INDEX(展開用!$B$2:$B$601,MATCH(ROW()-1,展開用!$E$2:$E$601,0)),"")</f>
        <v/>
      </c>
      <c r="AX397" s="1"/>
      <c r="AY397" s="1"/>
    </row>
    <row r="398" spans="1:51" ht="24" customHeight="1">
      <c r="A398" s="11"/>
      <c r="B398" s="11"/>
      <c r="C398" s="11"/>
      <c r="D398" s="11"/>
      <c r="E398" s="11"/>
      <c r="F398" s="11"/>
      <c r="G398" s="11"/>
      <c r="H398" s="11" t="str">
        <f>IF(AND(ROW()-1&lt;=教室申込!$K$5,教室申込!$K$7=0,COUNTA(教室申込!$C$4)=1),INDEX(展開用!$C$2:$C$601,MATCH(ROW()-1,展開用!$E$2:$E$601,0)),"")</f>
        <v/>
      </c>
      <c r="I398" s="11" t="str">
        <f>IF(AND(ROW()-1&lt;=教室申込!$K$5,教室申込!$K$7=0,COUNTA(教室申込!$C$4)=1),INDEX(展開用!$D$2:$D$601,MATCH(ROW()-1,展開用!$E$2:$E$601,0)),"")</f>
        <v/>
      </c>
      <c r="J398" s="11"/>
      <c r="K398" s="11"/>
      <c r="L398" s="11" t="str">
        <f>IF(AND(ROW()-1&lt;=教室申込!$K$5,教室申込!$K$7=0,COUNTA(教室申込!$C$4)=1),INDEX(教室申込!$B$1:$B$212,$AW398),"")</f>
        <v/>
      </c>
      <c r="M398" s="11" t="str">
        <f>IF(AND(ROW()-1&lt;=教室申込!$K$5,教室申込!$K$7=0,COUNTA(教室申込!$C$4)=1),INDEX(教室申込!$C$1:$C$212,$AW398),"")</f>
        <v/>
      </c>
      <c r="N398" s="11"/>
      <c r="O398" s="12" t="str">
        <f>IF(AND(ROW()-1&lt;=教室申込!$K$5,教室申込!$K$7=0,COUNTA(教室申込!$C$4)=1),INDEX(展開用!$G$2:$G$601,MATCH(ROW()-1,展開用!$E$2:$E$601,0)),"")</f>
        <v/>
      </c>
      <c r="P398" s="11"/>
      <c r="Q398" s="11"/>
      <c r="R398" s="11"/>
      <c r="S398" s="11"/>
      <c r="T398" s="11"/>
      <c r="U398" s="11" t="str">
        <f>IF(AND(ROW()-1&lt;=教室申込!$K$5,教室申込!$K$7=0,COUNTA(教室申込!$C$4)=1),INDEX(展開用!$F$2:$F$601,MATCH(ROW()-1,展開用!$E$2:$E$601,0)),"")</f>
        <v/>
      </c>
      <c r="V398" s="11"/>
      <c r="W398" s="11"/>
      <c r="X398" s="11"/>
      <c r="Y398" s="11"/>
      <c r="Z398" s="11"/>
      <c r="AA398" s="11" t="str">
        <f>IF($AW398="","",IF(INDEX(教室申込!$J$1:$J$212,$AW398)="","",INDEX(教室申込!$J$1:$J$212,$AW398)))</f>
        <v/>
      </c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" t="str">
        <f>IF(AND(ROW()-1&lt;=教室申込!$K$5,教室申込!$K$7=0,COUNTA(教室申込!$C$4)=1),INDEX(展開用!$B$2:$B$601,MATCH(ROW()-1,展開用!$E$2:$E$601,0)),"")</f>
        <v/>
      </c>
      <c r="AX398" s="1"/>
      <c r="AY398" s="1"/>
    </row>
    <row r="399" spans="1:51" ht="24" customHeight="1">
      <c r="A399" s="11"/>
      <c r="B399" s="11"/>
      <c r="C399" s="11"/>
      <c r="D399" s="11"/>
      <c r="E399" s="11"/>
      <c r="F399" s="11"/>
      <c r="G399" s="11"/>
      <c r="H399" s="11" t="str">
        <f>IF(AND(ROW()-1&lt;=教室申込!$K$5,教室申込!$K$7=0,COUNTA(教室申込!$C$4)=1),INDEX(展開用!$C$2:$C$601,MATCH(ROW()-1,展開用!$E$2:$E$601,0)),"")</f>
        <v/>
      </c>
      <c r="I399" s="11" t="str">
        <f>IF(AND(ROW()-1&lt;=教室申込!$K$5,教室申込!$K$7=0,COUNTA(教室申込!$C$4)=1),INDEX(展開用!$D$2:$D$601,MATCH(ROW()-1,展開用!$E$2:$E$601,0)),"")</f>
        <v/>
      </c>
      <c r="J399" s="11"/>
      <c r="K399" s="11"/>
      <c r="L399" s="11" t="str">
        <f>IF(AND(ROW()-1&lt;=教室申込!$K$5,教室申込!$K$7=0,COUNTA(教室申込!$C$4)=1),INDEX(教室申込!$B$1:$B$212,$AW399),"")</f>
        <v/>
      </c>
      <c r="M399" s="11" t="str">
        <f>IF(AND(ROW()-1&lt;=教室申込!$K$5,教室申込!$K$7=0,COUNTA(教室申込!$C$4)=1),INDEX(教室申込!$C$1:$C$212,$AW399),"")</f>
        <v/>
      </c>
      <c r="N399" s="11"/>
      <c r="O399" s="12" t="str">
        <f>IF(AND(ROW()-1&lt;=教室申込!$K$5,教室申込!$K$7=0,COUNTA(教室申込!$C$4)=1),INDEX(展開用!$G$2:$G$601,MATCH(ROW()-1,展開用!$E$2:$E$601,0)),"")</f>
        <v/>
      </c>
      <c r="P399" s="11"/>
      <c r="Q399" s="11"/>
      <c r="R399" s="11"/>
      <c r="S399" s="11"/>
      <c r="T399" s="11"/>
      <c r="U399" s="11" t="str">
        <f>IF(AND(ROW()-1&lt;=教室申込!$K$5,教室申込!$K$7=0,COUNTA(教室申込!$C$4)=1),INDEX(展開用!$F$2:$F$601,MATCH(ROW()-1,展開用!$E$2:$E$601,0)),"")</f>
        <v/>
      </c>
      <c r="V399" s="11"/>
      <c r="W399" s="11"/>
      <c r="X399" s="11"/>
      <c r="Y399" s="11"/>
      <c r="Z399" s="11"/>
      <c r="AA399" s="11" t="str">
        <f>IF($AW399="","",IF(INDEX(教室申込!$J$1:$J$212,$AW399)="","",INDEX(教室申込!$J$1:$J$212,$AW399)))</f>
        <v/>
      </c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" t="str">
        <f>IF(AND(ROW()-1&lt;=教室申込!$K$5,教室申込!$K$7=0,COUNTA(教室申込!$C$4)=1),INDEX(展開用!$B$2:$B$601,MATCH(ROW()-1,展開用!$E$2:$E$601,0)),"")</f>
        <v/>
      </c>
      <c r="AX399" s="1"/>
      <c r="AY399" s="1"/>
    </row>
    <row r="400" spans="1:51" ht="24" customHeight="1">
      <c r="A400" s="11"/>
      <c r="B400" s="11"/>
      <c r="C400" s="11"/>
      <c r="D400" s="11"/>
      <c r="E400" s="11"/>
      <c r="F400" s="11"/>
      <c r="G400" s="11"/>
      <c r="H400" s="11" t="str">
        <f>IF(AND(ROW()-1&lt;=教室申込!$K$5,教室申込!$K$7=0,COUNTA(教室申込!$C$4)=1),INDEX(展開用!$C$2:$C$601,MATCH(ROW()-1,展開用!$E$2:$E$601,0)),"")</f>
        <v/>
      </c>
      <c r="I400" s="11" t="str">
        <f>IF(AND(ROW()-1&lt;=教室申込!$K$5,教室申込!$K$7=0,COUNTA(教室申込!$C$4)=1),INDEX(展開用!$D$2:$D$601,MATCH(ROW()-1,展開用!$E$2:$E$601,0)),"")</f>
        <v/>
      </c>
      <c r="J400" s="11"/>
      <c r="K400" s="11"/>
      <c r="L400" s="11" t="str">
        <f>IF(AND(ROW()-1&lt;=教室申込!$K$5,教室申込!$K$7=0,COUNTA(教室申込!$C$4)=1),INDEX(教室申込!$B$1:$B$212,$AW400),"")</f>
        <v/>
      </c>
      <c r="M400" s="11" t="str">
        <f>IF(AND(ROW()-1&lt;=教室申込!$K$5,教室申込!$K$7=0,COUNTA(教室申込!$C$4)=1),INDEX(教室申込!$C$1:$C$212,$AW400),"")</f>
        <v/>
      </c>
      <c r="N400" s="11"/>
      <c r="O400" s="12" t="str">
        <f>IF(AND(ROW()-1&lt;=教室申込!$K$5,教室申込!$K$7=0,COUNTA(教室申込!$C$4)=1),INDEX(展開用!$G$2:$G$601,MATCH(ROW()-1,展開用!$E$2:$E$601,0)),"")</f>
        <v/>
      </c>
      <c r="P400" s="11"/>
      <c r="Q400" s="11"/>
      <c r="R400" s="11"/>
      <c r="S400" s="11"/>
      <c r="T400" s="11"/>
      <c r="U400" s="11" t="str">
        <f>IF(AND(ROW()-1&lt;=教室申込!$K$5,教室申込!$K$7=0,COUNTA(教室申込!$C$4)=1),INDEX(展開用!$F$2:$F$601,MATCH(ROW()-1,展開用!$E$2:$E$601,0)),"")</f>
        <v/>
      </c>
      <c r="V400" s="11"/>
      <c r="W400" s="11"/>
      <c r="X400" s="11"/>
      <c r="Y400" s="11"/>
      <c r="Z400" s="11"/>
      <c r="AA400" s="11" t="str">
        <f>IF($AW400="","",IF(INDEX(教室申込!$J$1:$J$212,$AW400)="","",INDEX(教室申込!$J$1:$J$212,$AW400)))</f>
        <v/>
      </c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" t="str">
        <f>IF(AND(ROW()-1&lt;=教室申込!$K$5,教室申込!$K$7=0,COUNTA(教室申込!$C$4)=1),INDEX(展開用!$B$2:$B$601,MATCH(ROW()-1,展開用!$E$2:$E$601,0)),"")</f>
        <v/>
      </c>
      <c r="AX400" s="1"/>
      <c r="AY400" s="1"/>
    </row>
    <row r="401" spans="1:51" ht="24" customHeight="1">
      <c r="A401" s="11"/>
      <c r="B401" s="11"/>
      <c r="C401" s="11"/>
      <c r="D401" s="11"/>
      <c r="E401" s="11"/>
      <c r="F401" s="11"/>
      <c r="G401" s="11"/>
      <c r="H401" s="11" t="str">
        <f>IF(AND(ROW()-1&lt;=教室申込!$K$5,教室申込!$K$7=0,COUNTA(教室申込!$C$4)=1),INDEX(展開用!$C$2:$C$601,MATCH(ROW()-1,展開用!$E$2:$E$601,0)),"")</f>
        <v/>
      </c>
      <c r="I401" s="11" t="str">
        <f>IF(AND(ROW()-1&lt;=教室申込!$K$5,教室申込!$K$7=0,COUNTA(教室申込!$C$4)=1),INDEX(展開用!$D$2:$D$601,MATCH(ROW()-1,展開用!$E$2:$E$601,0)),"")</f>
        <v/>
      </c>
      <c r="J401" s="11"/>
      <c r="K401" s="11"/>
      <c r="L401" s="11" t="str">
        <f>IF(AND(ROW()-1&lt;=教室申込!$K$5,教室申込!$K$7=0,COUNTA(教室申込!$C$4)=1),INDEX(教室申込!$B$1:$B$212,$AW401),"")</f>
        <v/>
      </c>
      <c r="M401" s="11" t="str">
        <f>IF(AND(ROW()-1&lt;=教室申込!$K$5,教室申込!$K$7=0,COUNTA(教室申込!$C$4)=1),INDEX(教室申込!$C$1:$C$212,$AW401),"")</f>
        <v/>
      </c>
      <c r="N401" s="11"/>
      <c r="O401" s="12" t="str">
        <f>IF(AND(ROW()-1&lt;=教室申込!$K$5,教室申込!$K$7=0,COUNTA(教室申込!$C$4)=1),INDEX(展開用!$G$2:$G$601,MATCH(ROW()-1,展開用!$E$2:$E$601,0)),"")</f>
        <v/>
      </c>
      <c r="P401" s="11"/>
      <c r="Q401" s="11"/>
      <c r="R401" s="11"/>
      <c r="S401" s="11"/>
      <c r="T401" s="11"/>
      <c r="U401" s="11" t="str">
        <f>IF(AND(ROW()-1&lt;=教室申込!$K$5,教室申込!$K$7=0,COUNTA(教室申込!$C$4)=1),INDEX(展開用!$F$2:$F$601,MATCH(ROW()-1,展開用!$E$2:$E$601,0)),"")</f>
        <v/>
      </c>
      <c r="V401" s="11"/>
      <c r="W401" s="11"/>
      <c r="X401" s="11"/>
      <c r="Y401" s="11"/>
      <c r="Z401" s="11"/>
      <c r="AA401" s="11" t="str">
        <f>IF($AW401="","",IF(INDEX(教室申込!$J$1:$J$212,$AW401)="","",INDEX(教室申込!$J$1:$J$212,$AW401)))</f>
        <v/>
      </c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" t="str">
        <f>IF(AND(ROW()-1&lt;=教室申込!$K$5,教室申込!$K$7=0,COUNTA(教室申込!$C$4)=1),INDEX(展開用!$B$2:$B$601,MATCH(ROW()-1,展開用!$E$2:$E$601,0)),"")</f>
        <v/>
      </c>
      <c r="AX401" s="1"/>
      <c r="AY401" s="1"/>
    </row>
    <row r="402" spans="1:51" ht="24" customHeight="1">
      <c r="A402" s="11"/>
      <c r="B402" s="11"/>
      <c r="C402" s="11"/>
      <c r="D402" s="11"/>
      <c r="E402" s="11"/>
      <c r="F402" s="11"/>
      <c r="G402" s="11"/>
      <c r="H402" s="11" t="str">
        <f>IF(AND(ROW()-1&lt;=教室申込!$K$5,教室申込!$K$7=0,COUNTA(教室申込!$C$4)=1),INDEX(展開用!$C$2:$C$601,MATCH(ROW()-1,展開用!$E$2:$E$601,0)),"")</f>
        <v/>
      </c>
      <c r="I402" s="11" t="str">
        <f>IF(AND(ROW()-1&lt;=教室申込!$K$5,教室申込!$K$7=0,COUNTA(教室申込!$C$4)=1),INDEX(展開用!$D$2:$D$601,MATCH(ROW()-1,展開用!$E$2:$E$601,0)),"")</f>
        <v/>
      </c>
      <c r="J402" s="11"/>
      <c r="K402" s="11"/>
      <c r="L402" s="11" t="str">
        <f>IF(AND(ROW()-1&lt;=教室申込!$K$5,教室申込!$K$7=0,COUNTA(教室申込!$C$4)=1),INDEX(教室申込!$B$1:$B$212,$AW402),"")</f>
        <v/>
      </c>
      <c r="M402" s="11" t="str">
        <f>IF(AND(ROW()-1&lt;=教室申込!$K$5,教室申込!$K$7=0,COUNTA(教室申込!$C$4)=1),INDEX(教室申込!$C$1:$C$212,$AW402),"")</f>
        <v/>
      </c>
      <c r="N402" s="11"/>
      <c r="O402" s="12" t="str">
        <f>IF(AND(ROW()-1&lt;=教室申込!$K$5,教室申込!$K$7=0,COUNTA(教室申込!$C$4)=1),INDEX(展開用!$G$2:$G$601,MATCH(ROW()-1,展開用!$E$2:$E$601,0)),"")</f>
        <v/>
      </c>
      <c r="P402" s="11"/>
      <c r="Q402" s="11"/>
      <c r="R402" s="11"/>
      <c r="S402" s="11"/>
      <c r="T402" s="11"/>
      <c r="U402" s="11" t="str">
        <f>IF(AND(ROW()-1&lt;=教室申込!$K$5,教室申込!$K$7=0,COUNTA(教室申込!$C$4)=1),INDEX(展開用!$F$2:$F$601,MATCH(ROW()-1,展開用!$E$2:$E$601,0)),"")</f>
        <v/>
      </c>
      <c r="V402" s="11"/>
      <c r="W402" s="11"/>
      <c r="X402" s="11"/>
      <c r="Y402" s="11"/>
      <c r="Z402" s="11"/>
      <c r="AA402" s="11" t="str">
        <f>IF($AW402="","",IF(INDEX(教室申込!$J$1:$J$212,$AW402)="","",INDEX(教室申込!$J$1:$J$212,$AW402)))</f>
        <v/>
      </c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" t="str">
        <f>IF(AND(ROW()-1&lt;=教室申込!$K$5,教室申込!$K$7=0,COUNTA(教室申込!$C$4)=1),INDEX(展開用!$B$2:$B$601,MATCH(ROW()-1,展開用!$E$2:$E$601,0)),"")</f>
        <v/>
      </c>
      <c r="AX402" s="1"/>
      <c r="AY402" s="1"/>
    </row>
    <row r="403" spans="1:51" ht="24" customHeight="1">
      <c r="A403" s="11"/>
      <c r="B403" s="11"/>
      <c r="C403" s="11"/>
      <c r="D403" s="11"/>
      <c r="E403" s="11"/>
      <c r="F403" s="11"/>
      <c r="G403" s="11"/>
      <c r="H403" s="11" t="str">
        <f>IF(AND(ROW()-1&lt;=教室申込!$K$5,教室申込!$K$7=0,COUNTA(教室申込!$C$4)=1),INDEX(展開用!$C$2:$C$601,MATCH(ROW()-1,展開用!$E$2:$E$601,0)),"")</f>
        <v/>
      </c>
      <c r="I403" s="11" t="str">
        <f>IF(AND(ROW()-1&lt;=教室申込!$K$5,教室申込!$K$7=0,COUNTA(教室申込!$C$4)=1),INDEX(展開用!$D$2:$D$601,MATCH(ROW()-1,展開用!$E$2:$E$601,0)),"")</f>
        <v/>
      </c>
      <c r="J403" s="11"/>
      <c r="K403" s="11"/>
      <c r="L403" s="11" t="str">
        <f>IF(AND(ROW()-1&lt;=教室申込!$K$5,教室申込!$K$7=0,COUNTA(教室申込!$C$4)=1),INDEX(教室申込!$B$1:$B$212,$AW403),"")</f>
        <v/>
      </c>
      <c r="M403" s="11" t="str">
        <f>IF(AND(ROW()-1&lt;=教室申込!$K$5,教室申込!$K$7=0,COUNTA(教室申込!$C$4)=1),INDEX(教室申込!$C$1:$C$212,$AW403),"")</f>
        <v/>
      </c>
      <c r="N403" s="11"/>
      <c r="O403" s="12" t="str">
        <f>IF(AND(ROW()-1&lt;=教室申込!$K$5,教室申込!$K$7=0,COUNTA(教室申込!$C$4)=1),INDEX(展開用!$G$2:$G$601,MATCH(ROW()-1,展開用!$E$2:$E$601,0)),"")</f>
        <v/>
      </c>
      <c r="P403" s="11"/>
      <c r="Q403" s="11"/>
      <c r="R403" s="11"/>
      <c r="S403" s="11"/>
      <c r="T403" s="11"/>
      <c r="U403" s="11" t="str">
        <f>IF(AND(ROW()-1&lt;=教室申込!$K$5,教室申込!$K$7=0,COUNTA(教室申込!$C$4)=1),INDEX(展開用!$F$2:$F$601,MATCH(ROW()-1,展開用!$E$2:$E$601,0)),"")</f>
        <v/>
      </c>
      <c r="V403" s="11"/>
      <c r="W403" s="11"/>
      <c r="X403" s="11"/>
      <c r="Y403" s="11"/>
      <c r="Z403" s="11"/>
      <c r="AA403" s="11" t="str">
        <f>IF($AW403="","",IF(INDEX(教室申込!$J$1:$J$212,$AW403)="","",INDEX(教室申込!$J$1:$J$212,$AW403)))</f>
        <v/>
      </c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" t="str">
        <f>IF(AND(ROW()-1&lt;=教室申込!$K$5,教室申込!$K$7=0,COUNTA(教室申込!$C$4)=1),INDEX(展開用!$B$2:$B$601,MATCH(ROW()-1,展開用!$E$2:$E$601,0)),"")</f>
        <v/>
      </c>
      <c r="AX403" s="1"/>
      <c r="AY403" s="1"/>
    </row>
    <row r="404" spans="1:51" ht="24" customHeight="1">
      <c r="A404" s="11"/>
      <c r="B404" s="11"/>
      <c r="C404" s="11"/>
      <c r="D404" s="11"/>
      <c r="E404" s="11"/>
      <c r="F404" s="11"/>
      <c r="G404" s="11"/>
      <c r="H404" s="11" t="str">
        <f>IF(AND(ROW()-1&lt;=教室申込!$K$5,教室申込!$K$7=0,COUNTA(教室申込!$C$4)=1),INDEX(展開用!$C$2:$C$601,MATCH(ROW()-1,展開用!$E$2:$E$601,0)),"")</f>
        <v/>
      </c>
      <c r="I404" s="11" t="str">
        <f>IF(AND(ROW()-1&lt;=教室申込!$K$5,教室申込!$K$7=0,COUNTA(教室申込!$C$4)=1),INDEX(展開用!$D$2:$D$601,MATCH(ROW()-1,展開用!$E$2:$E$601,0)),"")</f>
        <v/>
      </c>
      <c r="J404" s="11"/>
      <c r="K404" s="11"/>
      <c r="L404" s="11" t="str">
        <f>IF(AND(ROW()-1&lt;=教室申込!$K$5,教室申込!$K$7=0,COUNTA(教室申込!$C$4)=1),INDEX(教室申込!$B$1:$B$212,$AW404),"")</f>
        <v/>
      </c>
      <c r="M404" s="11" t="str">
        <f>IF(AND(ROW()-1&lt;=教室申込!$K$5,教室申込!$K$7=0,COUNTA(教室申込!$C$4)=1),INDEX(教室申込!$C$1:$C$212,$AW404),"")</f>
        <v/>
      </c>
      <c r="N404" s="11"/>
      <c r="O404" s="12" t="str">
        <f>IF(AND(ROW()-1&lt;=教室申込!$K$5,教室申込!$K$7=0,COUNTA(教室申込!$C$4)=1),INDEX(展開用!$G$2:$G$601,MATCH(ROW()-1,展開用!$E$2:$E$601,0)),"")</f>
        <v/>
      </c>
      <c r="P404" s="11"/>
      <c r="Q404" s="11"/>
      <c r="R404" s="11"/>
      <c r="S404" s="11"/>
      <c r="T404" s="11"/>
      <c r="U404" s="11" t="str">
        <f>IF(AND(ROW()-1&lt;=教室申込!$K$5,教室申込!$K$7=0,COUNTA(教室申込!$C$4)=1),INDEX(展開用!$F$2:$F$601,MATCH(ROW()-1,展開用!$E$2:$E$601,0)),"")</f>
        <v/>
      </c>
      <c r="V404" s="11"/>
      <c r="W404" s="11"/>
      <c r="X404" s="11"/>
      <c r="Y404" s="11"/>
      <c r="Z404" s="11"/>
      <c r="AA404" s="11" t="str">
        <f>IF($AW404="","",IF(INDEX(教室申込!$J$1:$J$212,$AW404)="","",INDEX(教室申込!$J$1:$J$212,$AW404)))</f>
        <v/>
      </c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" t="str">
        <f>IF(AND(ROW()-1&lt;=教室申込!$K$5,教室申込!$K$7=0,COUNTA(教室申込!$C$4)=1),INDEX(展開用!$B$2:$B$601,MATCH(ROW()-1,展開用!$E$2:$E$601,0)),"")</f>
        <v/>
      </c>
      <c r="AX404" s="1"/>
      <c r="AY404" s="1"/>
    </row>
    <row r="405" spans="1:51" ht="24" customHeight="1">
      <c r="A405" s="11"/>
      <c r="B405" s="11"/>
      <c r="C405" s="11"/>
      <c r="D405" s="11"/>
      <c r="E405" s="11"/>
      <c r="F405" s="11"/>
      <c r="G405" s="11"/>
      <c r="H405" s="11" t="str">
        <f>IF(AND(ROW()-1&lt;=教室申込!$K$5,教室申込!$K$7=0,COUNTA(教室申込!$C$4)=1),INDEX(展開用!$C$2:$C$601,MATCH(ROW()-1,展開用!$E$2:$E$601,0)),"")</f>
        <v/>
      </c>
      <c r="I405" s="11" t="str">
        <f>IF(AND(ROW()-1&lt;=教室申込!$K$5,教室申込!$K$7=0,COUNTA(教室申込!$C$4)=1),INDEX(展開用!$D$2:$D$601,MATCH(ROW()-1,展開用!$E$2:$E$601,0)),"")</f>
        <v/>
      </c>
      <c r="J405" s="11"/>
      <c r="K405" s="11"/>
      <c r="L405" s="11" t="str">
        <f>IF(AND(ROW()-1&lt;=教室申込!$K$5,教室申込!$K$7=0,COUNTA(教室申込!$C$4)=1),INDEX(教室申込!$B$1:$B$212,$AW405),"")</f>
        <v/>
      </c>
      <c r="M405" s="11" t="str">
        <f>IF(AND(ROW()-1&lt;=教室申込!$K$5,教室申込!$K$7=0,COUNTA(教室申込!$C$4)=1),INDEX(教室申込!$C$1:$C$212,$AW405),"")</f>
        <v/>
      </c>
      <c r="N405" s="11"/>
      <c r="O405" s="12" t="str">
        <f>IF(AND(ROW()-1&lt;=教室申込!$K$5,教室申込!$K$7=0,COUNTA(教室申込!$C$4)=1),INDEX(展開用!$G$2:$G$601,MATCH(ROW()-1,展開用!$E$2:$E$601,0)),"")</f>
        <v/>
      </c>
      <c r="P405" s="11"/>
      <c r="Q405" s="11"/>
      <c r="R405" s="11"/>
      <c r="S405" s="11"/>
      <c r="T405" s="11"/>
      <c r="U405" s="11" t="str">
        <f>IF(AND(ROW()-1&lt;=教室申込!$K$5,教室申込!$K$7=0,COUNTA(教室申込!$C$4)=1),INDEX(展開用!$F$2:$F$601,MATCH(ROW()-1,展開用!$E$2:$E$601,0)),"")</f>
        <v/>
      </c>
      <c r="V405" s="11"/>
      <c r="W405" s="11"/>
      <c r="X405" s="11"/>
      <c r="Y405" s="11"/>
      <c r="Z405" s="11"/>
      <c r="AA405" s="11" t="str">
        <f>IF($AW405="","",IF(INDEX(教室申込!$J$1:$J$212,$AW405)="","",INDEX(教室申込!$J$1:$J$212,$AW405)))</f>
        <v/>
      </c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" t="str">
        <f>IF(AND(ROW()-1&lt;=教室申込!$K$5,教室申込!$K$7=0,COUNTA(教室申込!$C$4)=1),INDEX(展開用!$B$2:$B$601,MATCH(ROW()-1,展開用!$E$2:$E$601,0)),"")</f>
        <v/>
      </c>
      <c r="AX405" s="1"/>
      <c r="AY405" s="1"/>
    </row>
    <row r="406" spans="1:51" ht="24" customHeight="1">
      <c r="A406" s="11"/>
      <c r="B406" s="11"/>
      <c r="C406" s="11"/>
      <c r="D406" s="11"/>
      <c r="E406" s="11"/>
      <c r="F406" s="11"/>
      <c r="G406" s="11"/>
      <c r="H406" s="11" t="str">
        <f>IF(AND(ROW()-1&lt;=教室申込!$K$5,教室申込!$K$7=0,COUNTA(教室申込!$C$4)=1),INDEX(展開用!$C$2:$C$601,MATCH(ROW()-1,展開用!$E$2:$E$601,0)),"")</f>
        <v/>
      </c>
      <c r="I406" s="11" t="str">
        <f>IF(AND(ROW()-1&lt;=教室申込!$K$5,教室申込!$K$7=0,COUNTA(教室申込!$C$4)=1),INDEX(展開用!$D$2:$D$601,MATCH(ROW()-1,展開用!$E$2:$E$601,0)),"")</f>
        <v/>
      </c>
      <c r="J406" s="11"/>
      <c r="K406" s="11"/>
      <c r="L406" s="11" t="str">
        <f>IF(AND(ROW()-1&lt;=教室申込!$K$5,教室申込!$K$7=0,COUNTA(教室申込!$C$4)=1),INDEX(教室申込!$B$1:$B$212,$AW406),"")</f>
        <v/>
      </c>
      <c r="M406" s="11" t="str">
        <f>IF(AND(ROW()-1&lt;=教室申込!$K$5,教室申込!$K$7=0,COUNTA(教室申込!$C$4)=1),INDEX(教室申込!$C$1:$C$212,$AW406),"")</f>
        <v/>
      </c>
      <c r="N406" s="11"/>
      <c r="O406" s="12" t="str">
        <f>IF(AND(ROW()-1&lt;=教室申込!$K$5,教室申込!$K$7=0,COUNTA(教室申込!$C$4)=1),INDEX(展開用!$G$2:$G$601,MATCH(ROW()-1,展開用!$E$2:$E$601,0)),"")</f>
        <v/>
      </c>
      <c r="P406" s="11"/>
      <c r="Q406" s="11"/>
      <c r="R406" s="11"/>
      <c r="S406" s="11"/>
      <c r="T406" s="11"/>
      <c r="U406" s="11" t="str">
        <f>IF(AND(ROW()-1&lt;=教室申込!$K$5,教室申込!$K$7=0,COUNTA(教室申込!$C$4)=1),INDEX(展開用!$F$2:$F$601,MATCH(ROW()-1,展開用!$E$2:$E$601,0)),"")</f>
        <v/>
      </c>
      <c r="V406" s="11"/>
      <c r="W406" s="11"/>
      <c r="X406" s="11"/>
      <c r="Y406" s="11"/>
      <c r="Z406" s="11"/>
      <c r="AA406" s="11" t="str">
        <f>IF($AW406="","",IF(INDEX(教室申込!$J$1:$J$212,$AW406)="","",INDEX(教室申込!$J$1:$J$212,$AW406)))</f>
        <v/>
      </c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" t="str">
        <f>IF(AND(ROW()-1&lt;=教室申込!$K$5,教室申込!$K$7=0,COUNTA(教室申込!$C$4)=1),INDEX(展開用!$B$2:$B$601,MATCH(ROW()-1,展開用!$E$2:$E$601,0)),"")</f>
        <v/>
      </c>
      <c r="AX406" s="1"/>
      <c r="AY406" s="1"/>
    </row>
    <row r="407" spans="1:51" ht="24" customHeight="1">
      <c r="A407" s="11"/>
      <c r="B407" s="11"/>
      <c r="C407" s="11"/>
      <c r="D407" s="11"/>
      <c r="E407" s="11"/>
      <c r="F407" s="11"/>
      <c r="G407" s="11"/>
      <c r="H407" s="11" t="str">
        <f>IF(AND(ROW()-1&lt;=教室申込!$K$5,教室申込!$K$7=0,COUNTA(教室申込!$C$4)=1),INDEX(展開用!$C$2:$C$601,MATCH(ROW()-1,展開用!$E$2:$E$601,0)),"")</f>
        <v/>
      </c>
      <c r="I407" s="11" t="str">
        <f>IF(AND(ROW()-1&lt;=教室申込!$K$5,教室申込!$K$7=0,COUNTA(教室申込!$C$4)=1),INDEX(展開用!$D$2:$D$601,MATCH(ROW()-1,展開用!$E$2:$E$601,0)),"")</f>
        <v/>
      </c>
      <c r="J407" s="11"/>
      <c r="K407" s="11"/>
      <c r="L407" s="11" t="str">
        <f>IF(AND(ROW()-1&lt;=教室申込!$K$5,教室申込!$K$7=0,COUNTA(教室申込!$C$4)=1),INDEX(教室申込!$B$1:$B$212,$AW407),"")</f>
        <v/>
      </c>
      <c r="M407" s="11" t="str">
        <f>IF(AND(ROW()-1&lt;=教室申込!$K$5,教室申込!$K$7=0,COUNTA(教室申込!$C$4)=1),INDEX(教室申込!$C$1:$C$212,$AW407),"")</f>
        <v/>
      </c>
      <c r="N407" s="11"/>
      <c r="O407" s="12" t="str">
        <f>IF(AND(ROW()-1&lt;=教室申込!$K$5,教室申込!$K$7=0,COUNTA(教室申込!$C$4)=1),INDEX(展開用!$G$2:$G$601,MATCH(ROW()-1,展開用!$E$2:$E$601,0)),"")</f>
        <v/>
      </c>
      <c r="P407" s="11"/>
      <c r="Q407" s="11"/>
      <c r="R407" s="11"/>
      <c r="S407" s="11"/>
      <c r="T407" s="11"/>
      <c r="U407" s="11" t="str">
        <f>IF(AND(ROW()-1&lt;=教室申込!$K$5,教室申込!$K$7=0,COUNTA(教室申込!$C$4)=1),INDEX(展開用!$F$2:$F$601,MATCH(ROW()-1,展開用!$E$2:$E$601,0)),"")</f>
        <v/>
      </c>
      <c r="V407" s="11"/>
      <c r="W407" s="11"/>
      <c r="X407" s="11"/>
      <c r="Y407" s="11"/>
      <c r="Z407" s="11"/>
      <c r="AA407" s="11" t="str">
        <f>IF($AW407="","",IF(INDEX(教室申込!$J$1:$J$212,$AW407)="","",INDEX(教室申込!$J$1:$J$212,$AW407)))</f>
        <v/>
      </c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" t="str">
        <f>IF(AND(ROW()-1&lt;=教室申込!$K$5,教室申込!$K$7=0,COUNTA(教室申込!$C$4)=1),INDEX(展開用!$B$2:$B$601,MATCH(ROW()-1,展開用!$E$2:$E$601,0)),"")</f>
        <v/>
      </c>
      <c r="AX407" s="1"/>
      <c r="AY407" s="1"/>
    </row>
    <row r="408" spans="1:51" ht="24" customHeight="1">
      <c r="A408" s="11"/>
      <c r="B408" s="11"/>
      <c r="C408" s="11"/>
      <c r="D408" s="11"/>
      <c r="E408" s="11"/>
      <c r="F408" s="11"/>
      <c r="G408" s="11"/>
      <c r="H408" s="11" t="str">
        <f>IF(AND(ROW()-1&lt;=教室申込!$K$5,教室申込!$K$7=0,COUNTA(教室申込!$C$4)=1),INDEX(展開用!$C$2:$C$601,MATCH(ROW()-1,展開用!$E$2:$E$601,0)),"")</f>
        <v/>
      </c>
      <c r="I408" s="11" t="str">
        <f>IF(AND(ROW()-1&lt;=教室申込!$K$5,教室申込!$K$7=0,COUNTA(教室申込!$C$4)=1),INDEX(展開用!$D$2:$D$601,MATCH(ROW()-1,展開用!$E$2:$E$601,0)),"")</f>
        <v/>
      </c>
      <c r="J408" s="11"/>
      <c r="K408" s="11"/>
      <c r="L408" s="11" t="str">
        <f>IF(AND(ROW()-1&lt;=教室申込!$K$5,教室申込!$K$7=0,COUNTA(教室申込!$C$4)=1),INDEX(教室申込!$B$1:$B$212,$AW408),"")</f>
        <v/>
      </c>
      <c r="M408" s="11" t="str">
        <f>IF(AND(ROW()-1&lt;=教室申込!$K$5,教室申込!$K$7=0,COUNTA(教室申込!$C$4)=1),INDEX(教室申込!$C$1:$C$212,$AW408),"")</f>
        <v/>
      </c>
      <c r="N408" s="11"/>
      <c r="O408" s="12" t="str">
        <f>IF(AND(ROW()-1&lt;=教室申込!$K$5,教室申込!$K$7=0,COUNTA(教室申込!$C$4)=1),INDEX(展開用!$G$2:$G$601,MATCH(ROW()-1,展開用!$E$2:$E$601,0)),"")</f>
        <v/>
      </c>
      <c r="P408" s="11"/>
      <c r="Q408" s="11"/>
      <c r="R408" s="11"/>
      <c r="S408" s="11"/>
      <c r="T408" s="11"/>
      <c r="U408" s="11" t="str">
        <f>IF(AND(ROW()-1&lt;=教室申込!$K$5,教室申込!$K$7=0,COUNTA(教室申込!$C$4)=1),INDEX(展開用!$F$2:$F$601,MATCH(ROW()-1,展開用!$E$2:$E$601,0)),"")</f>
        <v/>
      </c>
      <c r="V408" s="11"/>
      <c r="W408" s="11"/>
      <c r="X408" s="11"/>
      <c r="Y408" s="11"/>
      <c r="Z408" s="11"/>
      <c r="AA408" s="11" t="str">
        <f>IF($AW408="","",IF(INDEX(教室申込!$J$1:$J$212,$AW408)="","",INDEX(教室申込!$J$1:$J$212,$AW408)))</f>
        <v/>
      </c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" t="str">
        <f>IF(AND(ROW()-1&lt;=教室申込!$K$5,教室申込!$K$7=0,COUNTA(教室申込!$C$4)=1),INDEX(展開用!$B$2:$B$601,MATCH(ROW()-1,展開用!$E$2:$E$601,0)),"")</f>
        <v/>
      </c>
      <c r="AX408" s="1"/>
      <c r="AY408" s="1"/>
    </row>
    <row r="409" spans="1:51" ht="24" customHeight="1">
      <c r="A409" s="11"/>
      <c r="B409" s="11"/>
      <c r="C409" s="11"/>
      <c r="D409" s="11"/>
      <c r="E409" s="11"/>
      <c r="F409" s="11"/>
      <c r="G409" s="11"/>
      <c r="H409" s="11" t="str">
        <f>IF(AND(ROW()-1&lt;=教室申込!$K$5,教室申込!$K$7=0,COUNTA(教室申込!$C$4)=1),INDEX(展開用!$C$2:$C$601,MATCH(ROW()-1,展開用!$E$2:$E$601,0)),"")</f>
        <v/>
      </c>
      <c r="I409" s="11" t="str">
        <f>IF(AND(ROW()-1&lt;=教室申込!$K$5,教室申込!$K$7=0,COUNTA(教室申込!$C$4)=1),INDEX(展開用!$D$2:$D$601,MATCH(ROW()-1,展開用!$E$2:$E$601,0)),"")</f>
        <v/>
      </c>
      <c r="J409" s="11"/>
      <c r="K409" s="11"/>
      <c r="L409" s="11" t="str">
        <f>IF(AND(ROW()-1&lt;=教室申込!$K$5,教室申込!$K$7=0,COUNTA(教室申込!$C$4)=1),INDEX(教室申込!$B$1:$B$212,$AW409),"")</f>
        <v/>
      </c>
      <c r="M409" s="11" t="str">
        <f>IF(AND(ROW()-1&lt;=教室申込!$K$5,教室申込!$K$7=0,COUNTA(教室申込!$C$4)=1),INDEX(教室申込!$C$1:$C$212,$AW409),"")</f>
        <v/>
      </c>
      <c r="N409" s="11"/>
      <c r="O409" s="12" t="str">
        <f>IF(AND(ROW()-1&lt;=教室申込!$K$5,教室申込!$K$7=0,COUNTA(教室申込!$C$4)=1),INDEX(展開用!$G$2:$G$601,MATCH(ROW()-1,展開用!$E$2:$E$601,0)),"")</f>
        <v/>
      </c>
      <c r="P409" s="11"/>
      <c r="Q409" s="11"/>
      <c r="R409" s="11"/>
      <c r="S409" s="11"/>
      <c r="T409" s="11"/>
      <c r="U409" s="11" t="str">
        <f>IF(AND(ROW()-1&lt;=教室申込!$K$5,教室申込!$K$7=0,COUNTA(教室申込!$C$4)=1),INDEX(展開用!$F$2:$F$601,MATCH(ROW()-1,展開用!$E$2:$E$601,0)),"")</f>
        <v/>
      </c>
      <c r="V409" s="11"/>
      <c r="W409" s="11"/>
      <c r="X409" s="11"/>
      <c r="Y409" s="11"/>
      <c r="Z409" s="11"/>
      <c r="AA409" s="11" t="str">
        <f>IF($AW409="","",IF(INDEX(教室申込!$J$1:$J$212,$AW409)="","",INDEX(教室申込!$J$1:$J$212,$AW409)))</f>
        <v/>
      </c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" t="str">
        <f>IF(AND(ROW()-1&lt;=教室申込!$K$5,教室申込!$K$7=0,COUNTA(教室申込!$C$4)=1),INDEX(展開用!$B$2:$B$601,MATCH(ROW()-1,展開用!$E$2:$E$601,0)),"")</f>
        <v/>
      </c>
      <c r="AX409" s="1"/>
      <c r="AY409" s="1"/>
    </row>
    <row r="410" spans="1:51" ht="24" customHeight="1">
      <c r="A410" s="11"/>
      <c r="B410" s="11"/>
      <c r="C410" s="11"/>
      <c r="D410" s="11"/>
      <c r="E410" s="11"/>
      <c r="F410" s="11"/>
      <c r="G410" s="11"/>
      <c r="H410" s="11" t="str">
        <f>IF(AND(ROW()-1&lt;=教室申込!$K$5,教室申込!$K$7=0,COUNTA(教室申込!$C$4)=1),INDEX(展開用!$C$2:$C$601,MATCH(ROW()-1,展開用!$E$2:$E$601,0)),"")</f>
        <v/>
      </c>
      <c r="I410" s="11" t="str">
        <f>IF(AND(ROW()-1&lt;=教室申込!$K$5,教室申込!$K$7=0,COUNTA(教室申込!$C$4)=1),INDEX(展開用!$D$2:$D$601,MATCH(ROW()-1,展開用!$E$2:$E$601,0)),"")</f>
        <v/>
      </c>
      <c r="J410" s="11"/>
      <c r="K410" s="11"/>
      <c r="L410" s="11" t="str">
        <f>IF(AND(ROW()-1&lt;=教室申込!$K$5,教室申込!$K$7=0,COUNTA(教室申込!$C$4)=1),INDEX(教室申込!$B$1:$B$212,$AW410),"")</f>
        <v/>
      </c>
      <c r="M410" s="11" t="str">
        <f>IF(AND(ROW()-1&lt;=教室申込!$K$5,教室申込!$K$7=0,COUNTA(教室申込!$C$4)=1),INDEX(教室申込!$C$1:$C$212,$AW410),"")</f>
        <v/>
      </c>
      <c r="N410" s="11"/>
      <c r="O410" s="12" t="str">
        <f>IF(AND(ROW()-1&lt;=教室申込!$K$5,教室申込!$K$7=0,COUNTA(教室申込!$C$4)=1),INDEX(展開用!$G$2:$G$601,MATCH(ROW()-1,展開用!$E$2:$E$601,0)),"")</f>
        <v/>
      </c>
      <c r="P410" s="11"/>
      <c r="Q410" s="11"/>
      <c r="R410" s="11"/>
      <c r="S410" s="11"/>
      <c r="T410" s="11"/>
      <c r="U410" s="11" t="str">
        <f>IF(AND(ROW()-1&lt;=教室申込!$K$5,教室申込!$K$7=0,COUNTA(教室申込!$C$4)=1),INDEX(展開用!$F$2:$F$601,MATCH(ROW()-1,展開用!$E$2:$E$601,0)),"")</f>
        <v/>
      </c>
      <c r="V410" s="11"/>
      <c r="W410" s="11"/>
      <c r="X410" s="11"/>
      <c r="Y410" s="11"/>
      <c r="Z410" s="11"/>
      <c r="AA410" s="11" t="str">
        <f>IF($AW410="","",IF(INDEX(教室申込!$J$1:$J$212,$AW410)="","",INDEX(教室申込!$J$1:$J$212,$AW410)))</f>
        <v/>
      </c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" t="str">
        <f>IF(AND(ROW()-1&lt;=教室申込!$K$5,教室申込!$K$7=0,COUNTA(教室申込!$C$4)=1),INDEX(展開用!$B$2:$B$601,MATCH(ROW()-1,展開用!$E$2:$E$601,0)),"")</f>
        <v/>
      </c>
      <c r="AX410" s="1"/>
      <c r="AY410" s="1"/>
    </row>
    <row r="411" spans="1:51" ht="24" customHeight="1">
      <c r="A411" s="11"/>
      <c r="B411" s="11"/>
      <c r="C411" s="11"/>
      <c r="D411" s="11"/>
      <c r="E411" s="11"/>
      <c r="F411" s="11"/>
      <c r="G411" s="11"/>
      <c r="H411" s="11" t="str">
        <f>IF(AND(ROW()-1&lt;=教室申込!$K$5,教室申込!$K$7=0,COUNTA(教室申込!$C$4)=1),INDEX(展開用!$C$2:$C$601,MATCH(ROW()-1,展開用!$E$2:$E$601,0)),"")</f>
        <v/>
      </c>
      <c r="I411" s="11" t="str">
        <f>IF(AND(ROW()-1&lt;=教室申込!$K$5,教室申込!$K$7=0,COUNTA(教室申込!$C$4)=1),INDEX(展開用!$D$2:$D$601,MATCH(ROW()-1,展開用!$E$2:$E$601,0)),"")</f>
        <v/>
      </c>
      <c r="J411" s="11"/>
      <c r="K411" s="11"/>
      <c r="L411" s="11" t="str">
        <f>IF(AND(ROW()-1&lt;=教室申込!$K$5,教室申込!$K$7=0,COUNTA(教室申込!$C$4)=1),INDEX(教室申込!$B$1:$B$212,$AW411),"")</f>
        <v/>
      </c>
      <c r="M411" s="11" t="str">
        <f>IF(AND(ROW()-1&lt;=教室申込!$K$5,教室申込!$K$7=0,COUNTA(教室申込!$C$4)=1),INDEX(教室申込!$C$1:$C$212,$AW411),"")</f>
        <v/>
      </c>
      <c r="N411" s="11"/>
      <c r="O411" s="12" t="str">
        <f>IF(AND(ROW()-1&lt;=教室申込!$K$5,教室申込!$K$7=0,COUNTA(教室申込!$C$4)=1),INDEX(展開用!$G$2:$G$601,MATCH(ROW()-1,展開用!$E$2:$E$601,0)),"")</f>
        <v/>
      </c>
      <c r="P411" s="11"/>
      <c r="Q411" s="11"/>
      <c r="R411" s="11"/>
      <c r="S411" s="11"/>
      <c r="T411" s="11"/>
      <c r="U411" s="11" t="str">
        <f>IF(AND(ROW()-1&lt;=教室申込!$K$5,教室申込!$K$7=0,COUNTA(教室申込!$C$4)=1),INDEX(展開用!$F$2:$F$601,MATCH(ROW()-1,展開用!$E$2:$E$601,0)),"")</f>
        <v/>
      </c>
      <c r="V411" s="11"/>
      <c r="W411" s="11"/>
      <c r="X411" s="11"/>
      <c r="Y411" s="11"/>
      <c r="Z411" s="11"/>
      <c r="AA411" s="11" t="str">
        <f>IF($AW411="","",IF(INDEX(教室申込!$J$1:$J$212,$AW411)="","",INDEX(教室申込!$J$1:$J$212,$AW411)))</f>
        <v/>
      </c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" t="str">
        <f>IF(AND(ROW()-1&lt;=教室申込!$K$5,教室申込!$K$7=0,COUNTA(教室申込!$C$4)=1),INDEX(展開用!$B$2:$B$601,MATCH(ROW()-1,展開用!$E$2:$E$601,0)),"")</f>
        <v/>
      </c>
      <c r="AX411" s="1"/>
      <c r="AY411" s="1"/>
    </row>
    <row r="412" spans="1:51" ht="24" customHeight="1">
      <c r="A412" s="11"/>
      <c r="B412" s="11"/>
      <c r="C412" s="11"/>
      <c r="D412" s="11"/>
      <c r="E412" s="11"/>
      <c r="F412" s="11"/>
      <c r="G412" s="11"/>
      <c r="H412" s="11" t="str">
        <f>IF(AND(ROW()-1&lt;=教室申込!$K$5,教室申込!$K$7=0,COUNTA(教室申込!$C$4)=1),INDEX(展開用!$C$2:$C$601,MATCH(ROW()-1,展開用!$E$2:$E$601,0)),"")</f>
        <v/>
      </c>
      <c r="I412" s="11" t="str">
        <f>IF(AND(ROW()-1&lt;=教室申込!$K$5,教室申込!$K$7=0,COUNTA(教室申込!$C$4)=1),INDEX(展開用!$D$2:$D$601,MATCH(ROW()-1,展開用!$E$2:$E$601,0)),"")</f>
        <v/>
      </c>
      <c r="J412" s="11"/>
      <c r="K412" s="11"/>
      <c r="L412" s="11" t="str">
        <f>IF(AND(ROW()-1&lt;=教室申込!$K$5,教室申込!$K$7=0,COUNTA(教室申込!$C$4)=1),INDEX(教室申込!$B$1:$B$212,$AW412),"")</f>
        <v/>
      </c>
      <c r="M412" s="11" t="str">
        <f>IF(AND(ROW()-1&lt;=教室申込!$K$5,教室申込!$K$7=0,COUNTA(教室申込!$C$4)=1),INDEX(教室申込!$C$1:$C$212,$AW412),"")</f>
        <v/>
      </c>
      <c r="N412" s="11"/>
      <c r="O412" s="12" t="str">
        <f>IF(AND(ROW()-1&lt;=教室申込!$K$5,教室申込!$K$7=0,COUNTA(教室申込!$C$4)=1),INDEX(展開用!$G$2:$G$601,MATCH(ROW()-1,展開用!$E$2:$E$601,0)),"")</f>
        <v/>
      </c>
      <c r="P412" s="11"/>
      <c r="Q412" s="11"/>
      <c r="R412" s="11"/>
      <c r="S412" s="11"/>
      <c r="T412" s="11"/>
      <c r="U412" s="11" t="str">
        <f>IF(AND(ROW()-1&lt;=教室申込!$K$5,教室申込!$K$7=0,COUNTA(教室申込!$C$4)=1),INDEX(展開用!$F$2:$F$601,MATCH(ROW()-1,展開用!$E$2:$E$601,0)),"")</f>
        <v/>
      </c>
      <c r="V412" s="11"/>
      <c r="W412" s="11"/>
      <c r="X412" s="11"/>
      <c r="Y412" s="11"/>
      <c r="Z412" s="11"/>
      <c r="AA412" s="11" t="str">
        <f>IF($AW412="","",IF(INDEX(教室申込!$J$1:$J$212,$AW412)="","",INDEX(教室申込!$J$1:$J$212,$AW412)))</f>
        <v/>
      </c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" t="str">
        <f>IF(AND(ROW()-1&lt;=教室申込!$K$5,教室申込!$K$7=0,COUNTA(教室申込!$C$4)=1),INDEX(展開用!$B$2:$B$601,MATCH(ROW()-1,展開用!$E$2:$E$601,0)),"")</f>
        <v/>
      </c>
      <c r="AX412" s="1"/>
      <c r="AY412" s="1"/>
    </row>
    <row r="413" spans="1:51" ht="24" customHeight="1">
      <c r="A413" s="11"/>
      <c r="B413" s="11"/>
      <c r="C413" s="11"/>
      <c r="D413" s="11"/>
      <c r="E413" s="11"/>
      <c r="F413" s="11"/>
      <c r="G413" s="11"/>
      <c r="H413" s="11" t="str">
        <f>IF(AND(ROW()-1&lt;=教室申込!$K$5,教室申込!$K$7=0,COUNTA(教室申込!$C$4)=1),INDEX(展開用!$C$2:$C$601,MATCH(ROW()-1,展開用!$E$2:$E$601,0)),"")</f>
        <v/>
      </c>
      <c r="I413" s="11" t="str">
        <f>IF(AND(ROW()-1&lt;=教室申込!$K$5,教室申込!$K$7=0,COUNTA(教室申込!$C$4)=1),INDEX(展開用!$D$2:$D$601,MATCH(ROW()-1,展開用!$E$2:$E$601,0)),"")</f>
        <v/>
      </c>
      <c r="J413" s="11"/>
      <c r="K413" s="11"/>
      <c r="L413" s="11" t="str">
        <f>IF(AND(ROW()-1&lt;=教室申込!$K$5,教室申込!$K$7=0,COUNTA(教室申込!$C$4)=1),INDEX(教室申込!$B$1:$B$212,$AW413),"")</f>
        <v/>
      </c>
      <c r="M413" s="11" t="str">
        <f>IF(AND(ROW()-1&lt;=教室申込!$K$5,教室申込!$K$7=0,COUNTA(教室申込!$C$4)=1),INDEX(教室申込!$C$1:$C$212,$AW413),"")</f>
        <v/>
      </c>
      <c r="N413" s="11"/>
      <c r="O413" s="12" t="str">
        <f>IF(AND(ROW()-1&lt;=教室申込!$K$5,教室申込!$K$7=0,COUNTA(教室申込!$C$4)=1),INDEX(展開用!$G$2:$G$601,MATCH(ROW()-1,展開用!$E$2:$E$601,0)),"")</f>
        <v/>
      </c>
      <c r="P413" s="11"/>
      <c r="Q413" s="11"/>
      <c r="R413" s="11"/>
      <c r="S413" s="11"/>
      <c r="T413" s="11"/>
      <c r="U413" s="11" t="str">
        <f>IF(AND(ROW()-1&lt;=教室申込!$K$5,教室申込!$K$7=0,COUNTA(教室申込!$C$4)=1),INDEX(展開用!$F$2:$F$601,MATCH(ROW()-1,展開用!$E$2:$E$601,0)),"")</f>
        <v/>
      </c>
      <c r="V413" s="11"/>
      <c r="W413" s="11"/>
      <c r="X413" s="11"/>
      <c r="Y413" s="11"/>
      <c r="Z413" s="11"/>
      <c r="AA413" s="11" t="str">
        <f>IF($AW413="","",IF(INDEX(教室申込!$J$1:$J$212,$AW413)="","",INDEX(教室申込!$J$1:$J$212,$AW413)))</f>
        <v/>
      </c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" t="str">
        <f>IF(AND(ROW()-1&lt;=教室申込!$K$5,教室申込!$K$7=0,COUNTA(教室申込!$C$4)=1),INDEX(展開用!$B$2:$B$601,MATCH(ROW()-1,展開用!$E$2:$E$601,0)),"")</f>
        <v/>
      </c>
      <c r="AX413" s="1"/>
      <c r="AY413" s="1"/>
    </row>
    <row r="414" spans="1:51" ht="24" customHeight="1">
      <c r="A414" s="11"/>
      <c r="B414" s="11"/>
      <c r="C414" s="11"/>
      <c r="D414" s="11"/>
      <c r="E414" s="11"/>
      <c r="F414" s="11"/>
      <c r="G414" s="11"/>
      <c r="H414" s="11" t="str">
        <f>IF(AND(ROW()-1&lt;=教室申込!$K$5,教室申込!$K$7=0,COUNTA(教室申込!$C$4)=1),INDEX(展開用!$C$2:$C$601,MATCH(ROW()-1,展開用!$E$2:$E$601,0)),"")</f>
        <v/>
      </c>
      <c r="I414" s="11" t="str">
        <f>IF(AND(ROW()-1&lt;=教室申込!$K$5,教室申込!$K$7=0,COUNTA(教室申込!$C$4)=1),INDEX(展開用!$D$2:$D$601,MATCH(ROW()-1,展開用!$E$2:$E$601,0)),"")</f>
        <v/>
      </c>
      <c r="J414" s="11"/>
      <c r="K414" s="11"/>
      <c r="L414" s="11" t="str">
        <f>IF(AND(ROW()-1&lt;=教室申込!$K$5,教室申込!$K$7=0,COUNTA(教室申込!$C$4)=1),INDEX(教室申込!$B$1:$B$212,$AW414),"")</f>
        <v/>
      </c>
      <c r="M414" s="11" t="str">
        <f>IF(AND(ROW()-1&lt;=教室申込!$K$5,教室申込!$K$7=0,COUNTA(教室申込!$C$4)=1),INDEX(教室申込!$C$1:$C$212,$AW414),"")</f>
        <v/>
      </c>
      <c r="N414" s="11"/>
      <c r="O414" s="12" t="str">
        <f>IF(AND(ROW()-1&lt;=教室申込!$K$5,教室申込!$K$7=0,COUNTA(教室申込!$C$4)=1),INDEX(展開用!$G$2:$G$601,MATCH(ROW()-1,展開用!$E$2:$E$601,0)),"")</f>
        <v/>
      </c>
      <c r="P414" s="11"/>
      <c r="Q414" s="11"/>
      <c r="R414" s="11"/>
      <c r="S414" s="11"/>
      <c r="T414" s="11"/>
      <c r="U414" s="11" t="str">
        <f>IF(AND(ROW()-1&lt;=教室申込!$K$5,教室申込!$K$7=0,COUNTA(教室申込!$C$4)=1),INDEX(展開用!$F$2:$F$601,MATCH(ROW()-1,展開用!$E$2:$E$601,0)),"")</f>
        <v/>
      </c>
      <c r="V414" s="11"/>
      <c r="W414" s="11"/>
      <c r="X414" s="11"/>
      <c r="Y414" s="11"/>
      <c r="Z414" s="11"/>
      <c r="AA414" s="11" t="str">
        <f>IF($AW414="","",IF(INDEX(教室申込!$J$1:$J$212,$AW414)="","",INDEX(教室申込!$J$1:$J$212,$AW414)))</f>
        <v/>
      </c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" t="str">
        <f>IF(AND(ROW()-1&lt;=教室申込!$K$5,教室申込!$K$7=0,COUNTA(教室申込!$C$4)=1),INDEX(展開用!$B$2:$B$601,MATCH(ROW()-1,展開用!$E$2:$E$601,0)),"")</f>
        <v/>
      </c>
      <c r="AX414" s="1"/>
      <c r="AY414" s="1"/>
    </row>
    <row r="415" spans="1:51" ht="24" customHeight="1">
      <c r="A415" s="11"/>
      <c r="B415" s="11"/>
      <c r="C415" s="11"/>
      <c r="D415" s="11"/>
      <c r="E415" s="11"/>
      <c r="F415" s="11"/>
      <c r="G415" s="11"/>
      <c r="H415" s="11" t="str">
        <f>IF(AND(ROW()-1&lt;=教室申込!$K$5,教室申込!$K$7=0,COUNTA(教室申込!$C$4)=1),INDEX(展開用!$C$2:$C$601,MATCH(ROW()-1,展開用!$E$2:$E$601,0)),"")</f>
        <v/>
      </c>
      <c r="I415" s="11" t="str">
        <f>IF(AND(ROW()-1&lt;=教室申込!$K$5,教室申込!$K$7=0,COUNTA(教室申込!$C$4)=1),INDEX(展開用!$D$2:$D$601,MATCH(ROW()-1,展開用!$E$2:$E$601,0)),"")</f>
        <v/>
      </c>
      <c r="J415" s="11"/>
      <c r="K415" s="11"/>
      <c r="L415" s="11" t="str">
        <f>IF(AND(ROW()-1&lt;=教室申込!$K$5,教室申込!$K$7=0,COUNTA(教室申込!$C$4)=1),INDEX(教室申込!$B$1:$B$212,$AW415),"")</f>
        <v/>
      </c>
      <c r="M415" s="11" t="str">
        <f>IF(AND(ROW()-1&lt;=教室申込!$K$5,教室申込!$K$7=0,COUNTA(教室申込!$C$4)=1),INDEX(教室申込!$C$1:$C$212,$AW415),"")</f>
        <v/>
      </c>
      <c r="N415" s="11"/>
      <c r="O415" s="12" t="str">
        <f>IF(AND(ROW()-1&lt;=教室申込!$K$5,教室申込!$K$7=0,COUNTA(教室申込!$C$4)=1),INDEX(展開用!$G$2:$G$601,MATCH(ROW()-1,展開用!$E$2:$E$601,0)),"")</f>
        <v/>
      </c>
      <c r="P415" s="11"/>
      <c r="Q415" s="11"/>
      <c r="R415" s="11"/>
      <c r="S415" s="11"/>
      <c r="T415" s="11"/>
      <c r="U415" s="11" t="str">
        <f>IF(AND(ROW()-1&lt;=教室申込!$K$5,教室申込!$K$7=0,COUNTA(教室申込!$C$4)=1),INDEX(展開用!$F$2:$F$601,MATCH(ROW()-1,展開用!$E$2:$E$601,0)),"")</f>
        <v/>
      </c>
      <c r="V415" s="11"/>
      <c r="W415" s="11"/>
      <c r="X415" s="11"/>
      <c r="Y415" s="11"/>
      <c r="Z415" s="11"/>
      <c r="AA415" s="11" t="str">
        <f>IF($AW415="","",IF(INDEX(教室申込!$J$1:$J$212,$AW415)="","",INDEX(教室申込!$J$1:$J$212,$AW415)))</f>
        <v/>
      </c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" t="str">
        <f>IF(AND(ROW()-1&lt;=教室申込!$K$5,教室申込!$K$7=0,COUNTA(教室申込!$C$4)=1),INDEX(展開用!$B$2:$B$601,MATCH(ROW()-1,展開用!$E$2:$E$601,0)),"")</f>
        <v/>
      </c>
      <c r="AX415" s="1"/>
      <c r="AY415" s="1"/>
    </row>
    <row r="416" spans="1:51" ht="24" customHeight="1">
      <c r="A416" s="11"/>
      <c r="B416" s="11"/>
      <c r="C416" s="11"/>
      <c r="D416" s="11"/>
      <c r="E416" s="11"/>
      <c r="F416" s="11"/>
      <c r="G416" s="11"/>
      <c r="H416" s="11" t="str">
        <f>IF(AND(ROW()-1&lt;=教室申込!$K$5,教室申込!$K$7=0,COUNTA(教室申込!$C$4)=1),INDEX(展開用!$C$2:$C$601,MATCH(ROW()-1,展開用!$E$2:$E$601,0)),"")</f>
        <v/>
      </c>
      <c r="I416" s="11" t="str">
        <f>IF(AND(ROW()-1&lt;=教室申込!$K$5,教室申込!$K$7=0,COUNTA(教室申込!$C$4)=1),INDEX(展開用!$D$2:$D$601,MATCH(ROW()-1,展開用!$E$2:$E$601,0)),"")</f>
        <v/>
      </c>
      <c r="J416" s="11"/>
      <c r="K416" s="11"/>
      <c r="L416" s="11" t="str">
        <f>IF(AND(ROW()-1&lt;=教室申込!$K$5,教室申込!$K$7=0,COUNTA(教室申込!$C$4)=1),INDEX(教室申込!$B$1:$B$212,$AW416),"")</f>
        <v/>
      </c>
      <c r="M416" s="11" t="str">
        <f>IF(AND(ROW()-1&lt;=教室申込!$K$5,教室申込!$K$7=0,COUNTA(教室申込!$C$4)=1),INDEX(教室申込!$C$1:$C$212,$AW416),"")</f>
        <v/>
      </c>
      <c r="N416" s="11"/>
      <c r="O416" s="12" t="str">
        <f>IF(AND(ROW()-1&lt;=教室申込!$K$5,教室申込!$K$7=0,COUNTA(教室申込!$C$4)=1),INDEX(展開用!$G$2:$G$601,MATCH(ROW()-1,展開用!$E$2:$E$601,0)),"")</f>
        <v/>
      </c>
      <c r="P416" s="11"/>
      <c r="Q416" s="11"/>
      <c r="R416" s="11"/>
      <c r="S416" s="11"/>
      <c r="T416" s="11"/>
      <c r="U416" s="11" t="str">
        <f>IF(AND(ROW()-1&lt;=教室申込!$K$5,教室申込!$K$7=0,COUNTA(教室申込!$C$4)=1),INDEX(展開用!$F$2:$F$601,MATCH(ROW()-1,展開用!$E$2:$E$601,0)),"")</f>
        <v/>
      </c>
      <c r="V416" s="11"/>
      <c r="W416" s="11"/>
      <c r="X416" s="11"/>
      <c r="Y416" s="11"/>
      <c r="Z416" s="11"/>
      <c r="AA416" s="11" t="str">
        <f>IF($AW416="","",IF(INDEX(教室申込!$J$1:$J$212,$AW416)="","",INDEX(教室申込!$J$1:$J$212,$AW416)))</f>
        <v/>
      </c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" t="str">
        <f>IF(AND(ROW()-1&lt;=教室申込!$K$5,教室申込!$K$7=0,COUNTA(教室申込!$C$4)=1),INDEX(展開用!$B$2:$B$601,MATCH(ROW()-1,展開用!$E$2:$E$601,0)),"")</f>
        <v/>
      </c>
      <c r="AX416" s="1"/>
      <c r="AY416" s="1"/>
    </row>
    <row r="417" spans="1:51" ht="24" customHeight="1">
      <c r="A417" s="11"/>
      <c r="B417" s="11"/>
      <c r="C417" s="11"/>
      <c r="D417" s="11"/>
      <c r="E417" s="11"/>
      <c r="F417" s="11"/>
      <c r="G417" s="11"/>
      <c r="H417" s="11" t="str">
        <f>IF(AND(ROW()-1&lt;=教室申込!$K$5,教室申込!$K$7=0,COUNTA(教室申込!$C$4)=1),INDEX(展開用!$C$2:$C$601,MATCH(ROW()-1,展開用!$E$2:$E$601,0)),"")</f>
        <v/>
      </c>
      <c r="I417" s="11" t="str">
        <f>IF(AND(ROW()-1&lt;=教室申込!$K$5,教室申込!$K$7=0,COUNTA(教室申込!$C$4)=1),INDEX(展開用!$D$2:$D$601,MATCH(ROW()-1,展開用!$E$2:$E$601,0)),"")</f>
        <v/>
      </c>
      <c r="J417" s="11"/>
      <c r="K417" s="11"/>
      <c r="L417" s="11" t="str">
        <f>IF(AND(ROW()-1&lt;=教室申込!$K$5,教室申込!$K$7=0,COUNTA(教室申込!$C$4)=1),INDEX(教室申込!$B$1:$B$212,$AW417),"")</f>
        <v/>
      </c>
      <c r="M417" s="11" t="str">
        <f>IF(AND(ROW()-1&lt;=教室申込!$K$5,教室申込!$K$7=0,COUNTA(教室申込!$C$4)=1),INDEX(教室申込!$C$1:$C$212,$AW417),"")</f>
        <v/>
      </c>
      <c r="N417" s="11"/>
      <c r="O417" s="12" t="str">
        <f>IF(AND(ROW()-1&lt;=教室申込!$K$5,教室申込!$K$7=0,COUNTA(教室申込!$C$4)=1),INDEX(展開用!$G$2:$G$601,MATCH(ROW()-1,展開用!$E$2:$E$601,0)),"")</f>
        <v/>
      </c>
      <c r="P417" s="11"/>
      <c r="Q417" s="11"/>
      <c r="R417" s="11"/>
      <c r="S417" s="11"/>
      <c r="T417" s="11"/>
      <c r="U417" s="11" t="str">
        <f>IF(AND(ROW()-1&lt;=教室申込!$K$5,教室申込!$K$7=0,COUNTA(教室申込!$C$4)=1),INDEX(展開用!$F$2:$F$601,MATCH(ROW()-1,展開用!$E$2:$E$601,0)),"")</f>
        <v/>
      </c>
      <c r="V417" s="11"/>
      <c r="W417" s="11"/>
      <c r="X417" s="11"/>
      <c r="Y417" s="11"/>
      <c r="Z417" s="11"/>
      <c r="AA417" s="11" t="str">
        <f>IF($AW417="","",IF(INDEX(教室申込!$J$1:$J$212,$AW417)="","",INDEX(教室申込!$J$1:$J$212,$AW417)))</f>
        <v/>
      </c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" t="str">
        <f>IF(AND(ROW()-1&lt;=教室申込!$K$5,教室申込!$K$7=0,COUNTA(教室申込!$C$4)=1),INDEX(展開用!$B$2:$B$601,MATCH(ROW()-1,展開用!$E$2:$E$601,0)),"")</f>
        <v/>
      </c>
      <c r="AX417" s="1"/>
      <c r="AY417" s="1"/>
    </row>
    <row r="418" spans="1:51" ht="24" customHeight="1">
      <c r="A418" s="11"/>
      <c r="B418" s="11"/>
      <c r="C418" s="11"/>
      <c r="D418" s="11"/>
      <c r="E418" s="11"/>
      <c r="F418" s="11"/>
      <c r="G418" s="11"/>
      <c r="H418" s="11" t="str">
        <f>IF(AND(ROW()-1&lt;=教室申込!$K$5,教室申込!$K$7=0,COUNTA(教室申込!$C$4)=1),INDEX(展開用!$C$2:$C$601,MATCH(ROW()-1,展開用!$E$2:$E$601,0)),"")</f>
        <v/>
      </c>
      <c r="I418" s="11" t="str">
        <f>IF(AND(ROW()-1&lt;=教室申込!$K$5,教室申込!$K$7=0,COUNTA(教室申込!$C$4)=1),INDEX(展開用!$D$2:$D$601,MATCH(ROW()-1,展開用!$E$2:$E$601,0)),"")</f>
        <v/>
      </c>
      <c r="J418" s="11"/>
      <c r="K418" s="11"/>
      <c r="L418" s="11" t="str">
        <f>IF(AND(ROW()-1&lt;=教室申込!$K$5,教室申込!$K$7=0,COUNTA(教室申込!$C$4)=1),INDEX(教室申込!$B$1:$B$212,$AW418),"")</f>
        <v/>
      </c>
      <c r="M418" s="11" t="str">
        <f>IF(AND(ROW()-1&lt;=教室申込!$K$5,教室申込!$K$7=0,COUNTA(教室申込!$C$4)=1),INDEX(教室申込!$C$1:$C$212,$AW418),"")</f>
        <v/>
      </c>
      <c r="N418" s="11"/>
      <c r="O418" s="12" t="str">
        <f>IF(AND(ROW()-1&lt;=教室申込!$K$5,教室申込!$K$7=0,COUNTA(教室申込!$C$4)=1),INDEX(展開用!$G$2:$G$601,MATCH(ROW()-1,展開用!$E$2:$E$601,0)),"")</f>
        <v/>
      </c>
      <c r="P418" s="11"/>
      <c r="Q418" s="11"/>
      <c r="R418" s="11"/>
      <c r="S418" s="11"/>
      <c r="T418" s="11"/>
      <c r="U418" s="11" t="str">
        <f>IF(AND(ROW()-1&lt;=教室申込!$K$5,教室申込!$K$7=0,COUNTA(教室申込!$C$4)=1),INDEX(展開用!$F$2:$F$601,MATCH(ROW()-1,展開用!$E$2:$E$601,0)),"")</f>
        <v/>
      </c>
      <c r="V418" s="11"/>
      <c r="W418" s="11"/>
      <c r="X418" s="11"/>
      <c r="Y418" s="11"/>
      <c r="Z418" s="11"/>
      <c r="AA418" s="11" t="str">
        <f>IF($AW418="","",IF(INDEX(教室申込!$J$1:$J$212,$AW418)="","",INDEX(教室申込!$J$1:$J$212,$AW418)))</f>
        <v/>
      </c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" t="str">
        <f>IF(AND(ROW()-1&lt;=教室申込!$K$5,教室申込!$K$7=0,COUNTA(教室申込!$C$4)=1),INDEX(展開用!$B$2:$B$601,MATCH(ROW()-1,展開用!$E$2:$E$601,0)),"")</f>
        <v/>
      </c>
      <c r="AX418" s="1"/>
      <c r="AY418" s="1"/>
    </row>
    <row r="419" spans="1:51" ht="24" customHeight="1">
      <c r="A419" s="11"/>
      <c r="B419" s="11"/>
      <c r="C419" s="11"/>
      <c r="D419" s="11"/>
      <c r="E419" s="11"/>
      <c r="F419" s="11"/>
      <c r="G419" s="11"/>
      <c r="H419" s="11" t="str">
        <f>IF(AND(ROW()-1&lt;=教室申込!$K$5,教室申込!$K$7=0,COUNTA(教室申込!$C$4)=1),INDEX(展開用!$C$2:$C$601,MATCH(ROW()-1,展開用!$E$2:$E$601,0)),"")</f>
        <v/>
      </c>
      <c r="I419" s="11" t="str">
        <f>IF(AND(ROW()-1&lt;=教室申込!$K$5,教室申込!$K$7=0,COUNTA(教室申込!$C$4)=1),INDEX(展開用!$D$2:$D$601,MATCH(ROW()-1,展開用!$E$2:$E$601,0)),"")</f>
        <v/>
      </c>
      <c r="J419" s="11"/>
      <c r="K419" s="11"/>
      <c r="L419" s="11" t="str">
        <f>IF(AND(ROW()-1&lt;=教室申込!$K$5,教室申込!$K$7=0,COUNTA(教室申込!$C$4)=1),INDEX(教室申込!$B$1:$B$212,$AW419),"")</f>
        <v/>
      </c>
      <c r="M419" s="11" t="str">
        <f>IF(AND(ROW()-1&lt;=教室申込!$K$5,教室申込!$K$7=0,COUNTA(教室申込!$C$4)=1),INDEX(教室申込!$C$1:$C$212,$AW419),"")</f>
        <v/>
      </c>
      <c r="N419" s="11"/>
      <c r="O419" s="12" t="str">
        <f>IF(AND(ROW()-1&lt;=教室申込!$K$5,教室申込!$K$7=0,COUNTA(教室申込!$C$4)=1),INDEX(展開用!$G$2:$G$601,MATCH(ROW()-1,展開用!$E$2:$E$601,0)),"")</f>
        <v/>
      </c>
      <c r="P419" s="11"/>
      <c r="Q419" s="11"/>
      <c r="R419" s="11"/>
      <c r="S419" s="11"/>
      <c r="T419" s="11"/>
      <c r="U419" s="11" t="str">
        <f>IF(AND(ROW()-1&lt;=教室申込!$K$5,教室申込!$K$7=0,COUNTA(教室申込!$C$4)=1),INDEX(展開用!$F$2:$F$601,MATCH(ROW()-1,展開用!$E$2:$E$601,0)),"")</f>
        <v/>
      </c>
      <c r="V419" s="11"/>
      <c r="W419" s="11"/>
      <c r="X419" s="11"/>
      <c r="Y419" s="11"/>
      <c r="Z419" s="11"/>
      <c r="AA419" s="11" t="str">
        <f>IF($AW419="","",IF(INDEX(教室申込!$J$1:$J$212,$AW419)="","",INDEX(教室申込!$J$1:$J$212,$AW419)))</f>
        <v/>
      </c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" t="str">
        <f>IF(AND(ROW()-1&lt;=教室申込!$K$5,教室申込!$K$7=0,COUNTA(教室申込!$C$4)=1),INDEX(展開用!$B$2:$B$601,MATCH(ROW()-1,展開用!$E$2:$E$601,0)),"")</f>
        <v/>
      </c>
      <c r="AX419" s="1"/>
      <c r="AY419" s="1"/>
    </row>
    <row r="420" spans="1:51" ht="24" customHeight="1">
      <c r="A420" s="11"/>
      <c r="B420" s="11"/>
      <c r="C420" s="11"/>
      <c r="D420" s="11"/>
      <c r="E420" s="11"/>
      <c r="F420" s="11"/>
      <c r="G420" s="11"/>
      <c r="H420" s="11" t="str">
        <f>IF(AND(ROW()-1&lt;=教室申込!$K$5,教室申込!$K$7=0,COUNTA(教室申込!$C$4)=1),INDEX(展開用!$C$2:$C$601,MATCH(ROW()-1,展開用!$E$2:$E$601,0)),"")</f>
        <v/>
      </c>
      <c r="I420" s="11" t="str">
        <f>IF(AND(ROW()-1&lt;=教室申込!$K$5,教室申込!$K$7=0,COUNTA(教室申込!$C$4)=1),INDEX(展開用!$D$2:$D$601,MATCH(ROW()-1,展開用!$E$2:$E$601,0)),"")</f>
        <v/>
      </c>
      <c r="J420" s="11"/>
      <c r="K420" s="11"/>
      <c r="L420" s="11" t="str">
        <f>IF(AND(ROW()-1&lt;=教室申込!$K$5,教室申込!$K$7=0,COUNTA(教室申込!$C$4)=1),INDEX(教室申込!$B$1:$B$212,$AW420),"")</f>
        <v/>
      </c>
      <c r="M420" s="11" t="str">
        <f>IF(AND(ROW()-1&lt;=教室申込!$K$5,教室申込!$K$7=0,COUNTA(教室申込!$C$4)=1),INDEX(教室申込!$C$1:$C$212,$AW420),"")</f>
        <v/>
      </c>
      <c r="N420" s="11"/>
      <c r="O420" s="12" t="str">
        <f>IF(AND(ROW()-1&lt;=教室申込!$K$5,教室申込!$K$7=0,COUNTA(教室申込!$C$4)=1),INDEX(展開用!$G$2:$G$601,MATCH(ROW()-1,展開用!$E$2:$E$601,0)),"")</f>
        <v/>
      </c>
      <c r="P420" s="11"/>
      <c r="Q420" s="11"/>
      <c r="R420" s="11"/>
      <c r="S420" s="11"/>
      <c r="T420" s="11"/>
      <c r="U420" s="11" t="str">
        <f>IF(AND(ROW()-1&lt;=教室申込!$K$5,教室申込!$K$7=0,COUNTA(教室申込!$C$4)=1),INDEX(展開用!$F$2:$F$601,MATCH(ROW()-1,展開用!$E$2:$E$601,0)),"")</f>
        <v/>
      </c>
      <c r="V420" s="11"/>
      <c r="W420" s="11"/>
      <c r="X420" s="11"/>
      <c r="Y420" s="11"/>
      <c r="Z420" s="11"/>
      <c r="AA420" s="11" t="str">
        <f>IF($AW420="","",IF(INDEX(教室申込!$J$1:$J$212,$AW420)="","",INDEX(教室申込!$J$1:$J$212,$AW420)))</f>
        <v/>
      </c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" t="str">
        <f>IF(AND(ROW()-1&lt;=教室申込!$K$5,教室申込!$K$7=0,COUNTA(教室申込!$C$4)=1),INDEX(展開用!$B$2:$B$601,MATCH(ROW()-1,展開用!$E$2:$E$601,0)),"")</f>
        <v/>
      </c>
      <c r="AX420" s="1"/>
      <c r="AY420" s="1"/>
    </row>
    <row r="421" spans="1:51" ht="24" customHeight="1">
      <c r="A421" s="11"/>
      <c r="B421" s="11"/>
      <c r="C421" s="11"/>
      <c r="D421" s="11"/>
      <c r="E421" s="11"/>
      <c r="F421" s="11"/>
      <c r="G421" s="11"/>
      <c r="H421" s="11" t="str">
        <f>IF(AND(ROW()-1&lt;=教室申込!$K$5,教室申込!$K$7=0,COUNTA(教室申込!$C$4)=1),INDEX(展開用!$C$2:$C$601,MATCH(ROW()-1,展開用!$E$2:$E$601,0)),"")</f>
        <v/>
      </c>
      <c r="I421" s="11" t="str">
        <f>IF(AND(ROW()-1&lt;=教室申込!$K$5,教室申込!$K$7=0,COUNTA(教室申込!$C$4)=1),INDEX(展開用!$D$2:$D$601,MATCH(ROW()-1,展開用!$E$2:$E$601,0)),"")</f>
        <v/>
      </c>
      <c r="J421" s="11"/>
      <c r="K421" s="11"/>
      <c r="L421" s="11" t="str">
        <f>IF(AND(ROW()-1&lt;=教室申込!$K$5,教室申込!$K$7=0,COUNTA(教室申込!$C$4)=1),INDEX(教室申込!$B$1:$B$212,$AW421),"")</f>
        <v/>
      </c>
      <c r="M421" s="11" t="str">
        <f>IF(AND(ROW()-1&lt;=教室申込!$K$5,教室申込!$K$7=0,COUNTA(教室申込!$C$4)=1),INDEX(教室申込!$C$1:$C$212,$AW421),"")</f>
        <v/>
      </c>
      <c r="N421" s="11"/>
      <c r="O421" s="12" t="str">
        <f>IF(AND(ROW()-1&lt;=教室申込!$K$5,教室申込!$K$7=0,COUNTA(教室申込!$C$4)=1),INDEX(展開用!$G$2:$G$601,MATCH(ROW()-1,展開用!$E$2:$E$601,0)),"")</f>
        <v/>
      </c>
      <c r="P421" s="11"/>
      <c r="Q421" s="11"/>
      <c r="R421" s="11"/>
      <c r="S421" s="11"/>
      <c r="T421" s="11"/>
      <c r="U421" s="11" t="str">
        <f>IF(AND(ROW()-1&lt;=教室申込!$K$5,教室申込!$K$7=0,COUNTA(教室申込!$C$4)=1),INDEX(展開用!$F$2:$F$601,MATCH(ROW()-1,展開用!$E$2:$E$601,0)),"")</f>
        <v/>
      </c>
      <c r="V421" s="11"/>
      <c r="W421" s="11"/>
      <c r="X421" s="11"/>
      <c r="Y421" s="11"/>
      <c r="Z421" s="11"/>
      <c r="AA421" s="11" t="str">
        <f>IF($AW421="","",IF(INDEX(教室申込!$J$1:$J$212,$AW421)="","",INDEX(教室申込!$J$1:$J$212,$AW421)))</f>
        <v/>
      </c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" t="str">
        <f>IF(AND(ROW()-1&lt;=教室申込!$K$5,教室申込!$K$7=0,COUNTA(教室申込!$C$4)=1),INDEX(展開用!$B$2:$B$601,MATCH(ROW()-1,展開用!$E$2:$E$601,0)),"")</f>
        <v/>
      </c>
      <c r="AX421" s="1"/>
      <c r="AY421" s="1"/>
    </row>
    <row r="422" spans="1:51" ht="24" customHeight="1">
      <c r="A422" s="11"/>
      <c r="B422" s="11"/>
      <c r="C422" s="11"/>
      <c r="D422" s="11"/>
      <c r="E422" s="11"/>
      <c r="F422" s="11"/>
      <c r="G422" s="11"/>
      <c r="H422" s="11" t="str">
        <f>IF(AND(ROW()-1&lt;=教室申込!$K$5,教室申込!$K$7=0,COUNTA(教室申込!$C$4)=1),INDEX(展開用!$C$2:$C$601,MATCH(ROW()-1,展開用!$E$2:$E$601,0)),"")</f>
        <v/>
      </c>
      <c r="I422" s="11" t="str">
        <f>IF(AND(ROW()-1&lt;=教室申込!$K$5,教室申込!$K$7=0,COUNTA(教室申込!$C$4)=1),INDEX(展開用!$D$2:$D$601,MATCH(ROW()-1,展開用!$E$2:$E$601,0)),"")</f>
        <v/>
      </c>
      <c r="J422" s="11"/>
      <c r="K422" s="11"/>
      <c r="L422" s="11" t="str">
        <f>IF(AND(ROW()-1&lt;=教室申込!$K$5,教室申込!$K$7=0,COUNTA(教室申込!$C$4)=1),INDEX(教室申込!$B$1:$B$212,$AW422),"")</f>
        <v/>
      </c>
      <c r="M422" s="11" t="str">
        <f>IF(AND(ROW()-1&lt;=教室申込!$K$5,教室申込!$K$7=0,COUNTA(教室申込!$C$4)=1),INDEX(教室申込!$C$1:$C$212,$AW422),"")</f>
        <v/>
      </c>
      <c r="N422" s="11"/>
      <c r="O422" s="12" t="str">
        <f>IF(AND(ROW()-1&lt;=教室申込!$K$5,教室申込!$K$7=0,COUNTA(教室申込!$C$4)=1),INDEX(展開用!$G$2:$G$601,MATCH(ROW()-1,展開用!$E$2:$E$601,0)),"")</f>
        <v/>
      </c>
      <c r="P422" s="11"/>
      <c r="Q422" s="11"/>
      <c r="R422" s="11"/>
      <c r="S422" s="11"/>
      <c r="T422" s="11"/>
      <c r="U422" s="11" t="str">
        <f>IF(AND(ROW()-1&lt;=教室申込!$K$5,教室申込!$K$7=0,COUNTA(教室申込!$C$4)=1),INDEX(展開用!$F$2:$F$601,MATCH(ROW()-1,展開用!$E$2:$E$601,0)),"")</f>
        <v/>
      </c>
      <c r="V422" s="11"/>
      <c r="W422" s="11"/>
      <c r="X422" s="11"/>
      <c r="Y422" s="11"/>
      <c r="Z422" s="11"/>
      <c r="AA422" s="11" t="str">
        <f>IF($AW422="","",IF(INDEX(教室申込!$J$1:$J$212,$AW422)="","",INDEX(教室申込!$J$1:$J$212,$AW422)))</f>
        <v/>
      </c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" t="str">
        <f>IF(AND(ROW()-1&lt;=教室申込!$K$5,教室申込!$K$7=0,COUNTA(教室申込!$C$4)=1),INDEX(展開用!$B$2:$B$601,MATCH(ROW()-1,展開用!$E$2:$E$601,0)),"")</f>
        <v/>
      </c>
      <c r="AX422" s="1"/>
      <c r="AY422" s="1"/>
    </row>
    <row r="423" spans="1:51" ht="24" customHeight="1">
      <c r="A423" s="11"/>
      <c r="B423" s="11"/>
      <c r="C423" s="11"/>
      <c r="D423" s="11"/>
      <c r="E423" s="11"/>
      <c r="F423" s="11"/>
      <c r="G423" s="11"/>
      <c r="H423" s="11" t="str">
        <f>IF(AND(ROW()-1&lt;=教室申込!$K$5,教室申込!$K$7=0,COUNTA(教室申込!$C$4)=1),INDEX(展開用!$C$2:$C$601,MATCH(ROW()-1,展開用!$E$2:$E$601,0)),"")</f>
        <v/>
      </c>
      <c r="I423" s="11" t="str">
        <f>IF(AND(ROW()-1&lt;=教室申込!$K$5,教室申込!$K$7=0,COUNTA(教室申込!$C$4)=1),INDEX(展開用!$D$2:$D$601,MATCH(ROW()-1,展開用!$E$2:$E$601,0)),"")</f>
        <v/>
      </c>
      <c r="J423" s="11"/>
      <c r="K423" s="11"/>
      <c r="L423" s="11" t="str">
        <f>IF(AND(ROW()-1&lt;=教室申込!$K$5,教室申込!$K$7=0,COUNTA(教室申込!$C$4)=1),INDEX(教室申込!$B$1:$B$212,$AW423),"")</f>
        <v/>
      </c>
      <c r="M423" s="11" t="str">
        <f>IF(AND(ROW()-1&lt;=教室申込!$K$5,教室申込!$K$7=0,COUNTA(教室申込!$C$4)=1),INDEX(教室申込!$C$1:$C$212,$AW423),"")</f>
        <v/>
      </c>
      <c r="N423" s="11"/>
      <c r="O423" s="12" t="str">
        <f>IF(AND(ROW()-1&lt;=教室申込!$K$5,教室申込!$K$7=0,COUNTA(教室申込!$C$4)=1),INDEX(展開用!$G$2:$G$601,MATCH(ROW()-1,展開用!$E$2:$E$601,0)),"")</f>
        <v/>
      </c>
      <c r="P423" s="11"/>
      <c r="Q423" s="11"/>
      <c r="R423" s="11"/>
      <c r="S423" s="11"/>
      <c r="T423" s="11"/>
      <c r="U423" s="11" t="str">
        <f>IF(AND(ROW()-1&lt;=教室申込!$K$5,教室申込!$K$7=0,COUNTA(教室申込!$C$4)=1),INDEX(展開用!$F$2:$F$601,MATCH(ROW()-1,展開用!$E$2:$E$601,0)),"")</f>
        <v/>
      </c>
      <c r="V423" s="11"/>
      <c r="W423" s="11"/>
      <c r="X423" s="11"/>
      <c r="Y423" s="11"/>
      <c r="Z423" s="11"/>
      <c r="AA423" s="11" t="str">
        <f>IF($AW423="","",IF(INDEX(教室申込!$J$1:$J$212,$AW423)="","",INDEX(教室申込!$J$1:$J$212,$AW423)))</f>
        <v/>
      </c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" t="str">
        <f>IF(AND(ROW()-1&lt;=教室申込!$K$5,教室申込!$K$7=0,COUNTA(教室申込!$C$4)=1),INDEX(展開用!$B$2:$B$601,MATCH(ROW()-1,展開用!$E$2:$E$601,0)),"")</f>
        <v/>
      </c>
      <c r="AX423" s="1"/>
      <c r="AY423" s="1"/>
    </row>
    <row r="424" spans="1:51" ht="24" customHeight="1">
      <c r="A424" s="11"/>
      <c r="B424" s="11"/>
      <c r="C424" s="11"/>
      <c r="D424" s="11"/>
      <c r="E424" s="11"/>
      <c r="F424" s="11"/>
      <c r="G424" s="11"/>
      <c r="H424" s="11" t="str">
        <f>IF(AND(ROW()-1&lt;=教室申込!$K$5,教室申込!$K$7=0,COUNTA(教室申込!$C$4)=1),INDEX(展開用!$C$2:$C$601,MATCH(ROW()-1,展開用!$E$2:$E$601,0)),"")</f>
        <v/>
      </c>
      <c r="I424" s="11" t="str">
        <f>IF(AND(ROW()-1&lt;=教室申込!$K$5,教室申込!$K$7=0,COUNTA(教室申込!$C$4)=1),INDEX(展開用!$D$2:$D$601,MATCH(ROW()-1,展開用!$E$2:$E$601,0)),"")</f>
        <v/>
      </c>
      <c r="J424" s="11"/>
      <c r="K424" s="11"/>
      <c r="L424" s="11" t="str">
        <f>IF(AND(ROW()-1&lt;=教室申込!$K$5,教室申込!$K$7=0,COUNTA(教室申込!$C$4)=1),INDEX(教室申込!$B$1:$B$212,$AW424),"")</f>
        <v/>
      </c>
      <c r="M424" s="11" t="str">
        <f>IF(AND(ROW()-1&lt;=教室申込!$K$5,教室申込!$K$7=0,COUNTA(教室申込!$C$4)=1),INDEX(教室申込!$C$1:$C$212,$AW424),"")</f>
        <v/>
      </c>
      <c r="N424" s="11"/>
      <c r="O424" s="12" t="str">
        <f>IF(AND(ROW()-1&lt;=教室申込!$K$5,教室申込!$K$7=0,COUNTA(教室申込!$C$4)=1),INDEX(展開用!$G$2:$G$601,MATCH(ROW()-1,展開用!$E$2:$E$601,0)),"")</f>
        <v/>
      </c>
      <c r="P424" s="11"/>
      <c r="Q424" s="11"/>
      <c r="R424" s="11"/>
      <c r="S424" s="11"/>
      <c r="T424" s="11"/>
      <c r="U424" s="11" t="str">
        <f>IF(AND(ROW()-1&lt;=教室申込!$K$5,教室申込!$K$7=0,COUNTA(教室申込!$C$4)=1),INDEX(展開用!$F$2:$F$601,MATCH(ROW()-1,展開用!$E$2:$E$601,0)),"")</f>
        <v/>
      </c>
      <c r="V424" s="11"/>
      <c r="W424" s="11"/>
      <c r="X424" s="11"/>
      <c r="Y424" s="11"/>
      <c r="Z424" s="11"/>
      <c r="AA424" s="11" t="str">
        <f>IF($AW424="","",IF(INDEX(教室申込!$J$1:$J$212,$AW424)="","",INDEX(教室申込!$J$1:$J$212,$AW424)))</f>
        <v/>
      </c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" t="str">
        <f>IF(AND(ROW()-1&lt;=教室申込!$K$5,教室申込!$K$7=0,COUNTA(教室申込!$C$4)=1),INDEX(展開用!$B$2:$B$601,MATCH(ROW()-1,展開用!$E$2:$E$601,0)),"")</f>
        <v/>
      </c>
      <c r="AX424" s="1"/>
      <c r="AY424" s="1"/>
    </row>
    <row r="425" spans="1:51" ht="24" customHeight="1">
      <c r="A425" s="11"/>
      <c r="B425" s="11"/>
      <c r="C425" s="11"/>
      <c r="D425" s="11"/>
      <c r="E425" s="11"/>
      <c r="F425" s="11"/>
      <c r="G425" s="11"/>
      <c r="H425" s="11" t="str">
        <f>IF(AND(ROW()-1&lt;=教室申込!$K$5,教室申込!$K$7=0,COUNTA(教室申込!$C$4)=1),INDEX(展開用!$C$2:$C$601,MATCH(ROW()-1,展開用!$E$2:$E$601,0)),"")</f>
        <v/>
      </c>
      <c r="I425" s="11" t="str">
        <f>IF(AND(ROW()-1&lt;=教室申込!$K$5,教室申込!$K$7=0,COUNTA(教室申込!$C$4)=1),INDEX(展開用!$D$2:$D$601,MATCH(ROW()-1,展開用!$E$2:$E$601,0)),"")</f>
        <v/>
      </c>
      <c r="J425" s="11"/>
      <c r="K425" s="11"/>
      <c r="L425" s="11" t="str">
        <f>IF(AND(ROW()-1&lt;=教室申込!$K$5,教室申込!$K$7=0,COUNTA(教室申込!$C$4)=1),INDEX(教室申込!$B$1:$B$212,$AW425),"")</f>
        <v/>
      </c>
      <c r="M425" s="11" t="str">
        <f>IF(AND(ROW()-1&lt;=教室申込!$K$5,教室申込!$K$7=0,COUNTA(教室申込!$C$4)=1),INDEX(教室申込!$C$1:$C$212,$AW425),"")</f>
        <v/>
      </c>
      <c r="N425" s="11"/>
      <c r="O425" s="12" t="str">
        <f>IF(AND(ROW()-1&lt;=教室申込!$K$5,教室申込!$K$7=0,COUNTA(教室申込!$C$4)=1),INDEX(展開用!$G$2:$G$601,MATCH(ROW()-1,展開用!$E$2:$E$601,0)),"")</f>
        <v/>
      </c>
      <c r="P425" s="11"/>
      <c r="Q425" s="11"/>
      <c r="R425" s="11"/>
      <c r="S425" s="11"/>
      <c r="T425" s="11"/>
      <c r="U425" s="11" t="str">
        <f>IF(AND(ROW()-1&lt;=教室申込!$K$5,教室申込!$K$7=0,COUNTA(教室申込!$C$4)=1),INDEX(展開用!$F$2:$F$601,MATCH(ROW()-1,展開用!$E$2:$E$601,0)),"")</f>
        <v/>
      </c>
      <c r="V425" s="11"/>
      <c r="W425" s="11"/>
      <c r="X425" s="11"/>
      <c r="Y425" s="11"/>
      <c r="Z425" s="11"/>
      <c r="AA425" s="11" t="str">
        <f>IF($AW425="","",IF(INDEX(教室申込!$J$1:$J$212,$AW425)="","",INDEX(教室申込!$J$1:$J$212,$AW425)))</f>
        <v/>
      </c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" t="str">
        <f>IF(AND(ROW()-1&lt;=教室申込!$K$5,教室申込!$K$7=0,COUNTA(教室申込!$C$4)=1),INDEX(展開用!$B$2:$B$601,MATCH(ROW()-1,展開用!$E$2:$E$601,0)),"")</f>
        <v/>
      </c>
      <c r="AX425" s="1"/>
      <c r="AY425" s="1"/>
    </row>
    <row r="426" spans="1:51" ht="24" customHeight="1">
      <c r="A426" s="11"/>
      <c r="B426" s="11"/>
      <c r="C426" s="11"/>
      <c r="D426" s="11"/>
      <c r="E426" s="11"/>
      <c r="F426" s="11"/>
      <c r="G426" s="11"/>
      <c r="H426" s="11" t="str">
        <f>IF(AND(ROW()-1&lt;=教室申込!$K$5,教室申込!$K$7=0,COUNTA(教室申込!$C$4)=1),INDEX(展開用!$C$2:$C$601,MATCH(ROW()-1,展開用!$E$2:$E$601,0)),"")</f>
        <v/>
      </c>
      <c r="I426" s="11" t="str">
        <f>IF(AND(ROW()-1&lt;=教室申込!$K$5,教室申込!$K$7=0,COUNTA(教室申込!$C$4)=1),INDEX(展開用!$D$2:$D$601,MATCH(ROW()-1,展開用!$E$2:$E$601,0)),"")</f>
        <v/>
      </c>
      <c r="J426" s="11"/>
      <c r="K426" s="11"/>
      <c r="L426" s="11" t="str">
        <f>IF(AND(ROW()-1&lt;=教室申込!$K$5,教室申込!$K$7=0,COUNTA(教室申込!$C$4)=1),INDEX(教室申込!$B$1:$B$212,$AW426),"")</f>
        <v/>
      </c>
      <c r="M426" s="11" t="str">
        <f>IF(AND(ROW()-1&lt;=教室申込!$K$5,教室申込!$K$7=0,COUNTA(教室申込!$C$4)=1),INDEX(教室申込!$C$1:$C$212,$AW426),"")</f>
        <v/>
      </c>
      <c r="N426" s="11"/>
      <c r="O426" s="12" t="str">
        <f>IF(AND(ROW()-1&lt;=教室申込!$K$5,教室申込!$K$7=0,COUNTA(教室申込!$C$4)=1),INDEX(展開用!$G$2:$G$601,MATCH(ROW()-1,展開用!$E$2:$E$601,0)),"")</f>
        <v/>
      </c>
      <c r="P426" s="11"/>
      <c r="Q426" s="11"/>
      <c r="R426" s="11"/>
      <c r="S426" s="11"/>
      <c r="T426" s="11"/>
      <c r="U426" s="11" t="str">
        <f>IF(AND(ROW()-1&lt;=教室申込!$K$5,教室申込!$K$7=0,COUNTA(教室申込!$C$4)=1),INDEX(展開用!$F$2:$F$601,MATCH(ROW()-1,展開用!$E$2:$E$601,0)),"")</f>
        <v/>
      </c>
      <c r="V426" s="11"/>
      <c r="W426" s="11"/>
      <c r="X426" s="11"/>
      <c r="Y426" s="11"/>
      <c r="Z426" s="11"/>
      <c r="AA426" s="11" t="str">
        <f>IF($AW426="","",IF(INDEX(教室申込!$J$1:$J$212,$AW426)="","",INDEX(教室申込!$J$1:$J$212,$AW426)))</f>
        <v/>
      </c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" t="str">
        <f>IF(AND(ROW()-1&lt;=教室申込!$K$5,教室申込!$K$7=0,COUNTA(教室申込!$C$4)=1),INDEX(展開用!$B$2:$B$601,MATCH(ROW()-1,展開用!$E$2:$E$601,0)),"")</f>
        <v/>
      </c>
      <c r="AX426" s="1"/>
      <c r="AY426" s="1"/>
    </row>
    <row r="427" spans="1:51" ht="24" customHeight="1">
      <c r="A427" s="11"/>
      <c r="B427" s="11"/>
      <c r="C427" s="11"/>
      <c r="D427" s="11"/>
      <c r="E427" s="11"/>
      <c r="F427" s="11"/>
      <c r="G427" s="11"/>
      <c r="H427" s="11" t="str">
        <f>IF(AND(ROW()-1&lt;=教室申込!$K$5,教室申込!$K$7=0,COUNTA(教室申込!$C$4)=1),INDEX(展開用!$C$2:$C$601,MATCH(ROW()-1,展開用!$E$2:$E$601,0)),"")</f>
        <v/>
      </c>
      <c r="I427" s="11" t="str">
        <f>IF(AND(ROW()-1&lt;=教室申込!$K$5,教室申込!$K$7=0,COUNTA(教室申込!$C$4)=1),INDEX(展開用!$D$2:$D$601,MATCH(ROW()-1,展開用!$E$2:$E$601,0)),"")</f>
        <v/>
      </c>
      <c r="J427" s="11"/>
      <c r="K427" s="11"/>
      <c r="L427" s="11" t="str">
        <f>IF(AND(ROW()-1&lt;=教室申込!$K$5,教室申込!$K$7=0,COUNTA(教室申込!$C$4)=1),INDEX(教室申込!$B$1:$B$212,$AW427),"")</f>
        <v/>
      </c>
      <c r="M427" s="11" t="str">
        <f>IF(AND(ROW()-1&lt;=教室申込!$K$5,教室申込!$K$7=0,COUNTA(教室申込!$C$4)=1),INDEX(教室申込!$C$1:$C$212,$AW427),"")</f>
        <v/>
      </c>
      <c r="N427" s="11"/>
      <c r="O427" s="12" t="str">
        <f>IF(AND(ROW()-1&lt;=教室申込!$K$5,教室申込!$K$7=0,COUNTA(教室申込!$C$4)=1),INDEX(展開用!$G$2:$G$601,MATCH(ROW()-1,展開用!$E$2:$E$601,0)),"")</f>
        <v/>
      </c>
      <c r="P427" s="11"/>
      <c r="Q427" s="11"/>
      <c r="R427" s="11"/>
      <c r="S427" s="11"/>
      <c r="T427" s="11"/>
      <c r="U427" s="11" t="str">
        <f>IF(AND(ROW()-1&lt;=教室申込!$K$5,教室申込!$K$7=0,COUNTA(教室申込!$C$4)=1),INDEX(展開用!$F$2:$F$601,MATCH(ROW()-1,展開用!$E$2:$E$601,0)),"")</f>
        <v/>
      </c>
      <c r="V427" s="11"/>
      <c r="W427" s="11"/>
      <c r="X427" s="11"/>
      <c r="Y427" s="11"/>
      <c r="Z427" s="11"/>
      <c r="AA427" s="11" t="str">
        <f>IF($AW427="","",IF(INDEX(教室申込!$J$1:$J$212,$AW427)="","",INDEX(教室申込!$J$1:$J$212,$AW427)))</f>
        <v/>
      </c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" t="str">
        <f>IF(AND(ROW()-1&lt;=教室申込!$K$5,教室申込!$K$7=0,COUNTA(教室申込!$C$4)=1),INDEX(展開用!$B$2:$B$601,MATCH(ROW()-1,展開用!$E$2:$E$601,0)),"")</f>
        <v/>
      </c>
      <c r="AX427" s="1"/>
      <c r="AY427" s="1"/>
    </row>
    <row r="428" spans="1:51" ht="24" customHeight="1">
      <c r="A428" s="11"/>
      <c r="B428" s="11"/>
      <c r="C428" s="11"/>
      <c r="D428" s="11"/>
      <c r="E428" s="11"/>
      <c r="F428" s="11"/>
      <c r="G428" s="11"/>
      <c r="H428" s="11" t="str">
        <f>IF(AND(ROW()-1&lt;=教室申込!$K$5,教室申込!$K$7=0,COUNTA(教室申込!$C$4)=1),INDEX(展開用!$C$2:$C$601,MATCH(ROW()-1,展開用!$E$2:$E$601,0)),"")</f>
        <v/>
      </c>
      <c r="I428" s="11" t="str">
        <f>IF(AND(ROW()-1&lt;=教室申込!$K$5,教室申込!$K$7=0,COUNTA(教室申込!$C$4)=1),INDEX(展開用!$D$2:$D$601,MATCH(ROW()-1,展開用!$E$2:$E$601,0)),"")</f>
        <v/>
      </c>
      <c r="J428" s="11"/>
      <c r="K428" s="11"/>
      <c r="L428" s="11" t="str">
        <f>IF(AND(ROW()-1&lt;=教室申込!$K$5,教室申込!$K$7=0,COUNTA(教室申込!$C$4)=1),INDEX(教室申込!$B$1:$B$212,$AW428),"")</f>
        <v/>
      </c>
      <c r="M428" s="11" t="str">
        <f>IF(AND(ROW()-1&lt;=教室申込!$K$5,教室申込!$K$7=0,COUNTA(教室申込!$C$4)=1),INDEX(教室申込!$C$1:$C$212,$AW428),"")</f>
        <v/>
      </c>
      <c r="N428" s="11"/>
      <c r="O428" s="12" t="str">
        <f>IF(AND(ROW()-1&lt;=教室申込!$K$5,教室申込!$K$7=0,COUNTA(教室申込!$C$4)=1),INDEX(展開用!$G$2:$G$601,MATCH(ROW()-1,展開用!$E$2:$E$601,0)),"")</f>
        <v/>
      </c>
      <c r="P428" s="11"/>
      <c r="Q428" s="11"/>
      <c r="R428" s="11"/>
      <c r="S428" s="11"/>
      <c r="T428" s="11"/>
      <c r="U428" s="11" t="str">
        <f>IF(AND(ROW()-1&lt;=教室申込!$K$5,教室申込!$K$7=0,COUNTA(教室申込!$C$4)=1),INDEX(展開用!$F$2:$F$601,MATCH(ROW()-1,展開用!$E$2:$E$601,0)),"")</f>
        <v/>
      </c>
      <c r="V428" s="11"/>
      <c r="W428" s="11"/>
      <c r="X428" s="11"/>
      <c r="Y428" s="11"/>
      <c r="Z428" s="11"/>
      <c r="AA428" s="11" t="str">
        <f>IF($AW428="","",IF(INDEX(教室申込!$J$1:$J$212,$AW428)="","",INDEX(教室申込!$J$1:$J$212,$AW428)))</f>
        <v/>
      </c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" t="str">
        <f>IF(AND(ROW()-1&lt;=教室申込!$K$5,教室申込!$K$7=0,COUNTA(教室申込!$C$4)=1),INDEX(展開用!$B$2:$B$601,MATCH(ROW()-1,展開用!$E$2:$E$601,0)),"")</f>
        <v/>
      </c>
      <c r="AX428" s="1"/>
      <c r="AY428" s="1"/>
    </row>
    <row r="429" spans="1:51" ht="24" customHeight="1">
      <c r="A429" s="11"/>
      <c r="B429" s="11"/>
      <c r="C429" s="11"/>
      <c r="D429" s="11"/>
      <c r="E429" s="11"/>
      <c r="F429" s="11"/>
      <c r="G429" s="11"/>
      <c r="H429" s="11" t="str">
        <f>IF(AND(ROW()-1&lt;=教室申込!$K$5,教室申込!$K$7=0,COUNTA(教室申込!$C$4)=1),INDEX(展開用!$C$2:$C$601,MATCH(ROW()-1,展開用!$E$2:$E$601,0)),"")</f>
        <v/>
      </c>
      <c r="I429" s="11" t="str">
        <f>IF(AND(ROW()-1&lt;=教室申込!$K$5,教室申込!$K$7=0,COUNTA(教室申込!$C$4)=1),INDEX(展開用!$D$2:$D$601,MATCH(ROW()-1,展開用!$E$2:$E$601,0)),"")</f>
        <v/>
      </c>
      <c r="J429" s="11"/>
      <c r="K429" s="11"/>
      <c r="L429" s="11" t="str">
        <f>IF(AND(ROW()-1&lt;=教室申込!$K$5,教室申込!$K$7=0,COUNTA(教室申込!$C$4)=1),INDEX(教室申込!$B$1:$B$212,$AW429),"")</f>
        <v/>
      </c>
      <c r="M429" s="11" t="str">
        <f>IF(AND(ROW()-1&lt;=教室申込!$K$5,教室申込!$K$7=0,COUNTA(教室申込!$C$4)=1),INDEX(教室申込!$C$1:$C$212,$AW429),"")</f>
        <v/>
      </c>
      <c r="N429" s="11"/>
      <c r="O429" s="12" t="str">
        <f>IF(AND(ROW()-1&lt;=教室申込!$K$5,教室申込!$K$7=0,COUNTA(教室申込!$C$4)=1),INDEX(展開用!$G$2:$G$601,MATCH(ROW()-1,展開用!$E$2:$E$601,0)),"")</f>
        <v/>
      </c>
      <c r="P429" s="11"/>
      <c r="Q429" s="11"/>
      <c r="R429" s="11"/>
      <c r="S429" s="11"/>
      <c r="T429" s="11"/>
      <c r="U429" s="11" t="str">
        <f>IF(AND(ROW()-1&lt;=教室申込!$K$5,教室申込!$K$7=0,COUNTA(教室申込!$C$4)=1),INDEX(展開用!$F$2:$F$601,MATCH(ROW()-1,展開用!$E$2:$E$601,0)),"")</f>
        <v/>
      </c>
      <c r="V429" s="11"/>
      <c r="W429" s="11"/>
      <c r="X429" s="11"/>
      <c r="Y429" s="11"/>
      <c r="Z429" s="11"/>
      <c r="AA429" s="11" t="str">
        <f>IF($AW429="","",IF(INDEX(教室申込!$J$1:$J$212,$AW429)="","",INDEX(教室申込!$J$1:$J$212,$AW429)))</f>
        <v/>
      </c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" t="str">
        <f>IF(AND(ROW()-1&lt;=教室申込!$K$5,教室申込!$K$7=0,COUNTA(教室申込!$C$4)=1),INDEX(展開用!$B$2:$B$601,MATCH(ROW()-1,展開用!$E$2:$E$601,0)),"")</f>
        <v/>
      </c>
      <c r="AX429" s="1"/>
      <c r="AY429" s="1"/>
    </row>
    <row r="430" spans="1:51" ht="24" customHeight="1">
      <c r="A430" s="11"/>
      <c r="B430" s="11"/>
      <c r="C430" s="11"/>
      <c r="D430" s="11"/>
      <c r="E430" s="11"/>
      <c r="F430" s="11"/>
      <c r="G430" s="11"/>
      <c r="H430" s="11" t="str">
        <f>IF(AND(ROW()-1&lt;=教室申込!$K$5,教室申込!$K$7=0,COUNTA(教室申込!$C$4)=1),INDEX(展開用!$C$2:$C$601,MATCH(ROW()-1,展開用!$E$2:$E$601,0)),"")</f>
        <v/>
      </c>
      <c r="I430" s="11" t="str">
        <f>IF(AND(ROW()-1&lt;=教室申込!$K$5,教室申込!$K$7=0,COUNTA(教室申込!$C$4)=1),INDEX(展開用!$D$2:$D$601,MATCH(ROW()-1,展開用!$E$2:$E$601,0)),"")</f>
        <v/>
      </c>
      <c r="J430" s="11"/>
      <c r="K430" s="11"/>
      <c r="L430" s="11" t="str">
        <f>IF(AND(ROW()-1&lt;=教室申込!$K$5,教室申込!$K$7=0,COUNTA(教室申込!$C$4)=1),INDEX(教室申込!$B$1:$B$212,$AW430),"")</f>
        <v/>
      </c>
      <c r="M430" s="11" t="str">
        <f>IF(AND(ROW()-1&lt;=教室申込!$K$5,教室申込!$K$7=0,COUNTA(教室申込!$C$4)=1),INDEX(教室申込!$C$1:$C$212,$AW430),"")</f>
        <v/>
      </c>
      <c r="N430" s="11"/>
      <c r="O430" s="12" t="str">
        <f>IF(AND(ROW()-1&lt;=教室申込!$K$5,教室申込!$K$7=0,COUNTA(教室申込!$C$4)=1),INDEX(展開用!$G$2:$G$601,MATCH(ROW()-1,展開用!$E$2:$E$601,0)),"")</f>
        <v/>
      </c>
      <c r="P430" s="11"/>
      <c r="Q430" s="11"/>
      <c r="R430" s="11"/>
      <c r="S430" s="11"/>
      <c r="T430" s="11"/>
      <c r="U430" s="11" t="str">
        <f>IF(AND(ROW()-1&lt;=教室申込!$K$5,教室申込!$K$7=0,COUNTA(教室申込!$C$4)=1),INDEX(展開用!$F$2:$F$601,MATCH(ROW()-1,展開用!$E$2:$E$601,0)),"")</f>
        <v/>
      </c>
      <c r="V430" s="11"/>
      <c r="W430" s="11"/>
      <c r="X430" s="11"/>
      <c r="Y430" s="11"/>
      <c r="Z430" s="11"/>
      <c r="AA430" s="11" t="str">
        <f>IF($AW430="","",IF(INDEX(教室申込!$J$1:$J$212,$AW430)="","",INDEX(教室申込!$J$1:$J$212,$AW430)))</f>
        <v/>
      </c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" t="str">
        <f>IF(AND(ROW()-1&lt;=教室申込!$K$5,教室申込!$K$7=0,COUNTA(教室申込!$C$4)=1),INDEX(展開用!$B$2:$B$601,MATCH(ROW()-1,展開用!$E$2:$E$601,0)),"")</f>
        <v/>
      </c>
      <c r="AX430" s="1"/>
      <c r="AY430" s="1"/>
    </row>
    <row r="431" spans="1:51" ht="24" customHeight="1">
      <c r="A431" s="11"/>
      <c r="B431" s="11"/>
      <c r="C431" s="11"/>
      <c r="D431" s="11"/>
      <c r="E431" s="11"/>
      <c r="F431" s="11"/>
      <c r="G431" s="11"/>
      <c r="H431" s="11" t="str">
        <f>IF(AND(ROW()-1&lt;=教室申込!$K$5,教室申込!$K$7=0,COUNTA(教室申込!$C$4)=1),INDEX(展開用!$C$2:$C$601,MATCH(ROW()-1,展開用!$E$2:$E$601,0)),"")</f>
        <v/>
      </c>
      <c r="I431" s="11" t="str">
        <f>IF(AND(ROW()-1&lt;=教室申込!$K$5,教室申込!$K$7=0,COUNTA(教室申込!$C$4)=1),INDEX(展開用!$D$2:$D$601,MATCH(ROW()-1,展開用!$E$2:$E$601,0)),"")</f>
        <v/>
      </c>
      <c r="J431" s="11"/>
      <c r="K431" s="11"/>
      <c r="L431" s="11" t="str">
        <f>IF(AND(ROW()-1&lt;=教室申込!$K$5,教室申込!$K$7=0,COUNTA(教室申込!$C$4)=1),INDEX(教室申込!$B$1:$B$212,$AW431),"")</f>
        <v/>
      </c>
      <c r="M431" s="11" t="str">
        <f>IF(AND(ROW()-1&lt;=教室申込!$K$5,教室申込!$K$7=0,COUNTA(教室申込!$C$4)=1),INDEX(教室申込!$C$1:$C$212,$AW431),"")</f>
        <v/>
      </c>
      <c r="N431" s="11"/>
      <c r="O431" s="12" t="str">
        <f>IF(AND(ROW()-1&lt;=教室申込!$K$5,教室申込!$K$7=0,COUNTA(教室申込!$C$4)=1),INDEX(展開用!$G$2:$G$601,MATCH(ROW()-1,展開用!$E$2:$E$601,0)),"")</f>
        <v/>
      </c>
      <c r="P431" s="11"/>
      <c r="Q431" s="11"/>
      <c r="R431" s="11"/>
      <c r="S431" s="11"/>
      <c r="T431" s="11"/>
      <c r="U431" s="11" t="str">
        <f>IF(AND(ROW()-1&lt;=教室申込!$K$5,教室申込!$K$7=0,COUNTA(教室申込!$C$4)=1),INDEX(展開用!$F$2:$F$601,MATCH(ROW()-1,展開用!$E$2:$E$601,0)),"")</f>
        <v/>
      </c>
      <c r="V431" s="11"/>
      <c r="W431" s="11"/>
      <c r="X431" s="11"/>
      <c r="Y431" s="11"/>
      <c r="Z431" s="11"/>
      <c r="AA431" s="11" t="str">
        <f>IF($AW431="","",IF(INDEX(教室申込!$J$1:$J$212,$AW431)="","",INDEX(教室申込!$J$1:$J$212,$AW431)))</f>
        <v/>
      </c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" t="str">
        <f>IF(AND(ROW()-1&lt;=教室申込!$K$5,教室申込!$K$7=0,COUNTA(教室申込!$C$4)=1),INDEX(展開用!$B$2:$B$601,MATCH(ROW()-1,展開用!$E$2:$E$601,0)),"")</f>
        <v/>
      </c>
      <c r="AX431" s="1"/>
      <c r="AY431" s="1"/>
    </row>
    <row r="432" spans="1:51" ht="24" customHeight="1">
      <c r="A432" s="11"/>
      <c r="B432" s="11"/>
      <c r="C432" s="11"/>
      <c r="D432" s="11"/>
      <c r="E432" s="11"/>
      <c r="F432" s="11"/>
      <c r="G432" s="11"/>
      <c r="H432" s="11" t="str">
        <f>IF(AND(ROW()-1&lt;=教室申込!$K$5,教室申込!$K$7=0,COUNTA(教室申込!$C$4)=1),INDEX(展開用!$C$2:$C$601,MATCH(ROW()-1,展開用!$E$2:$E$601,0)),"")</f>
        <v/>
      </c>
      <c r="I432" s="11" t="str">
        <f>IF(AND(ROW()-1&lt;=教室申込!$K$5,教室申込!$K$7=0,COUNTA(教室申込!$C$4)=1),INDEX(展開用!$D$2:$D$601,MATCH(ROW()-1,展開用!$E$2:$E$601,0)),"")</f>
        <v/>
      </c>
      <c r="J432" s="11"/>
      <c r="K432" s="11"/>
      <c r="L432" s="11" t="str">
        <f>IF(AND(ROW()-1&lt;=教室申込!$K$5,教室申込!$K$7=0,COUNTA(教室申込!$C$4)=1),INDEX(教室申込!$B$1:$B$212,$AW432),"")</f>
        <v/>
      </c>
      <c r="M432" s="11" t="str">
        <f>IF(AND(ROW()-1&lt;=教室申込!$K$5,教室申込!$K$7=0,COUNTA(教室申込!$C$4)=1),INDEX(教室申込!$C$1:$C$212,$AW432),"")</f>
        <v/>
      </c>
      <c r="N432" s="11"/>
      <c r="O432" s="12" t="str">
        <f>IF(AND(ROW()-1&lt;=教室申込!$K$5,教室申込!$K$7=0,COUNTA(教室申込!$C$4)=1),INDEX(展開用!$G$2:$G$601,MATCH(ROW()-1,展開用!$E$2:$E$601,0)),"")</f>
        <v/>
      </c>
      <c r="P432" s="11"/>
      <c r="Q432" s="11"/>
      <c r="R432" s="11"/>
      <c r="S432" s="11"/>
      <c r="T432" s="11"/>
      <c r="U432" s="11" t="str">
        <f>IF(AND(ROW()-1&lt;=教室申込!$K$5,教室申込!$K$7=0,COUNTA(教室申込!$C$4)=1),INDEX(展開用!$F$2:$F$601,MATCH(ROW()-1,展開用!$E$2:$E$601,0)),"")</f>
        <v/>
      </c>
      <c r="V432" s="11"/>
      <c r="W432" s="11"/>
      <c r="X432" s="11"/>
      <c r="Y432" s="11"/>
      <c r="Z432" s="11"/>
      <c r="AA432" s="11" t="str">
        <f>IF($AW432="","",IF(INDEX(教室申込!$J$1:$J$212,$AW432)="","",INDEX(教室申込!$J$1:$J$212,$AW432)))</f>
        <v/>
      </c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" t="str">
        <f>IF(AND(ROW()-1&lt;=教室申込!$K$5,教室申込!$K$7=0,COUNTA(教室申込!$C$4)=1),INDEX(展開用!$B$2:$B$601,MATCH(ROW()-1,展開用!$E$2:$E$601,0)),"")</f>
        <v/>
      </c>
      <c r="AX432" s="1"/>
      <c r="AY432" s="1"/>
    </row>
    <row r="433" spans="1:51" ht="24" customHeight="1">
      <c r="A433" s="11"/>
      <c r="B433" s="11"/>
      <c r="C433" s="11"/>
      <c r="D433" s="11"/>
      <c r="E433" s="11"/>
      <c r="F433" s="11"/>
      <c r="G433" s="11"/>
      <c r="H433" s="11" t="str">
        <f>IF(AND(ROW()-1&lt;=教室申込!$K$5,教室申込!$K$7=0,COUNTA(教室申込!$C$4)=1),INDEX(展開用!$C$2:$C$601,MATCH(ROW()-1,展開用!$E$2:$E$601,0)),"")</f>
        <v/>
      </c>
      <c r="I433" s="11" t="str">
        <f>IF(AND(ROW()-1&lt;=教室申込!$K$5,教室申込!$K$7=0,COUNTA(教室申込!$C$4)=1),INDEX(展開用!$D$2:$D$601,MATCH(ROW()-1,展開用!$E$2:$E$601,0)),"")</f>
        <v/>
      </c>
      <c r="J433" s="11"/>
      <c r="K433" s="11"/>
      <c r="L433" s="11" t="str">
        <f>IF(AND(ROW()-1&lt;=教室申込!$K$5,教室申込!$K$7=0,COUNTA(教室申込!$C$4)=1),INDEX(教室申込!$B$1:$B$212,$AW433),"")</f>
        <v/>
      </c>
      <c r="M433" s="11" t="str">
        <f>IF(AND(ROW()-1&lt;=教室申込!$K$5,教室申込!$K$7=0,COUNTA(教室申込!$C$4)=1),INDEX(教室申込!$C$1:$C$212,$AW433),"")</f>
        <v/>
      </c>
      <c r="N433" s="11"/>
      <c r="O433" s="12" t="str">
        <f>IF(AND(ROW()-1&lt;=教室申込!$K$5,教室申込!$K$7=0,COUNTA(教室申込!$C$4)=1),INDEX(展開用!$G$2:$G$601,MATCH(ROW()-1,展開用!$E$2:$E$601,0)),"")</f>
        <v/>
      </c>
      <c r="P433" s="11"/>
      <c r="Q433" s="11"/>
      <c r="R433" s="11"/>
      <c r="S433" s="11"/>
      <c r="T433" s="11"/>
      <c r="U433" s="11" t="str">
        <f>IF(AND(ROW()-1&lt;=教室申込!$K$5,教室申込!$K$7=0,COUNTA(教室申込!$C$4)=1),INDEX(展開用!$F$2:$F$601,MATCH(ROW()-1,展開用!$E$2:$E$601,0)),"")</f>
        <v/>
      </c>
      <c r="V433" s="11"/>
      <c r="W433" s="11"/>
      <c r="X433" s="11"/>
      <c r="Y433" s="11"/>
      <c r="Z433" s="11"/>
      <c r="AA433" s="11" t="str">
        <f>IF($AW433="","",IF(INDEX(教室申込!$J$1:$J$212,$AW433)="","",INDEX(教室申込!$J$1:$J$212,$AW433)))</f>
        <v/>
      </c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" t="str">
        <f>IF(AND(ROW()-1&lt;=教室申込!$K$5,教室申込!$K$7=0,COUNTA(教室申込!$C$4)=1),INDEX(展開用!$B$2:$B$601,MATCH(ROW()-1,展開用!$E$2:$E$601,0)),"")</f>
        <v/>
      </c>
      <c r="AX433" s="1"/>
      <c r="AY433" s="1"/>
    </row>
    <row r="434" spans="1:51" ht="24" customHeight="1">
      <c r="A434" s="11"/>
      <c r="B434" s="11"/>
      <c r="C434" s="11"/>
      <c r="D434" s="11"/>
      <c r="E434" s="11"/>
      <c r="F434" s="11"/>
      <c r="G434" s="11"/>
      <c r="H434" s="11" t="str">
        <f>IF(AND(ROW()-1&lt;=教室申込!$K$5,教室申込!$K$7=0,COUNTA(教室申込!$C$4)=1),INDEX(展開用!$C$2:$C$601,MATCH(ROW()-1,展開用!$E$2:$E$601,0)),"")</f>
        <v/>
      </c>
      <c r="I434" s="11" t="str">
        <f>IF(AND(ROW()-1&lt;=教室申込!$K$5,教室申込!$K$7=0,COUNTA(教室申込!$C$4)=1),INDEX(展開用!$D$2:$D$601,MATCH(ROW()-1,展開用!$E$2:$E$601,0)),"")</f>
        <v/>
      </c>
      <c r="J434" s="11"/>
      <c r="K434" s="11"/>
      <c r="L434" s="11" t="str">
        <f>IF(AND(ROW()-1&lt;=教室申込!$K$5,教室申込!$K$7=0,COUNTA(教室申込!$C$4)=1),INDEX(教室申込!$B$1:$B$212,$AW434),"")</f>
        <v/>
      </c>
      <c r="M434" s="11" t="str">
        <f>IF(AND(ROW()-1&lt;=教室申込!$K$5,教室申込!$K$7=0,COUNTA(教室申込!$C$4)=1),INDEX(教室申込!$C$1:$C$212,$AW434),"")</f>
        <v/>
      </c>
      <c r="N434" s="11"/>
      <c r="O434" s="12" t="str">
        <f>IF(AND(ROW()-1&lt;=教室申込!$K$5,教室申込!$K$7=0,COUNTA(教室申込!$C$4)=1),INDEX(展開用!$G$2:$G$601,MATCH(ROW()-1,展開用!$E$2:$E$601,0)),"")</f>
        <v/>
      </c>
      <c r="P434" s="11"/>
      <c r="Q434" s="11"/>
      <c r="R434" s="11"/>
      <c r="S434" s="11"/>
      <c r="T434" s="11"/>
      <c r="U434" s="11" t="str">
        <f>IF(AND(ROW()-1&lt;=教室申込!$K$5,教室申込!$K$7=0,COUNTA(教室申込!$C$4)=1),INDEX(展開用!$F$2:$F$601,MATCH(ROW()-1,展開用!$E$2:$E$601,0)),"")</f>
        <v/>
      </c>
      <c r="V434" s="11"/>
      <c r="W434" s="11"/>
      <c r="X434" s="11"/>
      <c r="Y434" s="11"/>
      <c r="Z434" s="11"/>
      <c r="AA434" s="11" t="str">
        <f>IF($AW434="","",IF(INDEX(教室申込!$J$1:$J$212,$AW434)="","",INDEX(教室申込!$J$1:$J$212,$AW434)))</f>
        <v/>
      </c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" t="str">
        <f>IF(AND(ROW()-1&lt;=教室申込!$K$5,教室申込!$K$7=0,COUNTA(教室申込!$C$4)=1),INDEX(展開用!$B$2:$B$601,MATCH(ROW()-1,展開用!$E$2:$E$601,0)),"")</f>
        <v/>
      </c>
      <c r="AX434" s="1"/>
      <c r="AY434" s="1"/>
    </row>
    <row r="435" spans="1:51" ht="24" customHeight="1">
      <c r="A435" s="11"/>
      <c r="B435" s="11"/>
      <c r="C435" s="11"/>
      <c r="D435" s="11"/>
      <c r="E435" s="11"/>
      <c r="F435" s="11"/>
      <c r="G435" s="11"/>
      <c r="H435" s="11" t="str">
        <f>IF(AND(ROW()-1&lt;=教室申込!$K$5,教室申込!$K$7=0,COUNTA(教室申込!$C$4)=1),INDEX(展開用!$C$2:$C$601,MATCH(ROW()-1,展開用!$E$2:$E$601,0)),"")</f>
        <v/>
      </c>
      <c r="I435" s="11" t="str">
        <f>IF(AND(ROW()-1&lt;=教室申込!$K$5,教室申込!$K$7=0,COUNTA(教室申込!$C$4)=1),INDEX(展開用!$D$2:$D$601,MATCH(ROW()-1,展開用!$E$2:$E$601,0)),"")</f>
        <v/>
      </c>
      <c r="J435" s="11"/>
      <c r="K435" s="11"/>
      <c r="L435" s="11" t="str">
        <f>IF(AND(ROW()-1&lt;=教室申込!$K$5,教室申込!$K$7=0,COUNTA(教室申込!$C$4)=1),INDEX(教室申込!$B$1:$B$212,$AW435),"")</f>
        <v/>
      </c>
      <c r="M435" s="11" t="str">
        <f>IF(AND(ROW()-1&lt;=教室申込!$K$5,教室申込!$K$7=0,COUNTA(教室申込!$C$4)=1),INDEX(教室申込!$C$1:$C$212,$AW435),"")</f>
        <v/>
      </c>
      <c r="N435" s="11"/>
      <c r="O435" s="12" t="str">
        <f>IF(AND(ROW()-1&lt;=教室申込!$K$5,教室申込!$K$7=0,COUNTA(教室申込!$C$4)=1),INDEX(展開用!$G$2:$G$601,MATCH(ROW()-1,展開用!$E$2:$E$601,0)),"")</f>
        <v/>
      </c>
      <c r="P435" s="11"/>
      <c r="Q435" s="11"/>
      <c r="R435" s="11"/>
      <c r="S435" s="11"/>
      <c r="T435" s="11"/>
      <c r="U435" s="11" t="str">
        <f>IF(AND(ROW()-1&lt;=教室申込!$K$5,教室申込!$K$7=0,COUNTA(教室申込!$C$4)=1),INDEX(展開用!$F$2:$F$601,MATCH(ROW()-1,展開用!$E$2:$E$601,0)),"")</f>
        <v/>
      </c>
      <c r="V435" s="11"/>
      <c r="W435" s="11"/>
      <c r="X435" s="11"/>
      <c r="Y435" s="11"/>
      <c r="Z435" s="11"/>
      <c r="AA435" s="11" t="str">
        <f>IF($AW435="","",IF(INDEX(教室申込!$J$1:$J$212,$AW435)="","",INDEX(教室申込!$J$1:$J$212,$AW435)))</f>
        <v/>
      </c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" t="str">
        <f>IF(AND(ROW()-1&lt;=教室申込!$K$5,教室申込!$K$7=0,COUNTA(教室申込!$C$4)=1),INDEX(展開用!$B$2:$B$601,MATCH(ROW()-1,展開用!$E$2:$E$601,0)),"")</f>
        <v/>
      </c>
      <c r="AX435" s="1"/>
      <c r="AY435" s="1"/>
    </row>
    <row r="436" spans="1:51" ht="24" customHeight="1">
      <c r="A436" s="11"/>
      <c r="B436" s="11"/>
      <c r="C436" s="11"/>
      <c r="D436" s="11"/>
      <c r="E436" s="11"/>
      <c r="F436" s="11"/>
      <c r="G436" s="11"/>
      <c r="H436" s="11" t="str">
        <f>IF(AND(ROW()-1&lt;=教室申込!$K$5,教室申込!$K$7=0,COUNTA(教室申込!$C$4)=1),INDEX(展開用!$C$2:$C$601,MATCH(ROW()-1,展開用!$E$2:$E$601,0)),"")</f>
        <v/>
      </c>
      <c r="I436" s="11" t="str">
        <f>IF(AND(ROW()-1&lt;=教室申込!$K$5,教室申込!$K$7=0,COUNTA(教室申込!$C$4)=1),INDEX(展開用!$D$2:$D$601,MATCH(ROW()-1,展開用!$E$2:$E$601,0)),"")</f>
        <v/>
      </c>
      <c r="J436" s="11"/>
      <c r="K436" s="11"/>
      <c r="L436" s="11" t="str">
        <f>IF(AND(ROW()-1&lt;=教室申込!$K$5,教室申込!$K$7=0,COUNTA(教室申込!$C$4)=1),INDEX(教室申込!$B$1:$B$212,$AW436),"")</f>
        <v/>
      </c>
      <c r="M436" s="11" t="str">
        <f>IF(AND(ROW()-1&lt;=教室申込!$K$5,教室申込!$K$7=0,COUNTA(教室申込!$C$4)=1),INDEX(教室申込!$C$1:$C$212,$AW436),"")</f>
        <v/>
      </c>
      <c r="N436" s="11"/>
      <c r="O436" s="12" t="str">
        <f>IF(AND(ROW()-1&lt;=教室申込!$K$5,教室申込!$K$7=0,COUNTA(教室申込!$C$4)=1),INDEX(展開用!$G$2:$G$601,MATCH(ROW()-1,展開用!$E$2:$E$601,0)),"")</f>
        <v/>
      </c>
      <c r="P436" s="11"/>
      <c r="Q436" s="11"/>
      <c r="R436" s="11"/>
      <c r="S436" s="11"/>
      <c r="T436" s="11"/>
      <c r="U436" s="11" t="str">
        <f>IF(AND(ROW()-1&lt;=教室申込!$K$5,教室申込!$K$7=0,COUNTA(教室申込!$C$4)=1),INDEX(展開用!$F$2:$F$601,MATCH(ROW()-1,展開用!$E$2:$E$601,0)),"")</f>
        <v/>
      </c>
      <c r="V436" s="11"/>
      <c r="W436" s="11"/>
      <c r="X436" s="11"/>
      <c r="Y436" s="11"/>
      <c r="Z436" s="11"/>
      <c r="AA436" s="11" t="str">
        <f>IF($AW436="","",IF(INDEX(教室申込!$J$1:$J$212,$AW436)="","",INDEX(教室申込!$J$1:$J$212,$AW436)))</f>
        <v/>
      </c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" t="str">
        <f>IF(AND(ROW()-1&lt;=教室申込!$K$5,教室申込!$K$7=0,COUNTA(教室申込!$C$4)=1),INDEX(展開用!$B$2:$B$601,MATCH(ROW()-1,展開用!$E$2:$E$601,0)),"")</f>
        <v/>
      </c>
      <c r="AX436" s="1"/>
      <c r="AY436" s="1"/>
    </row>
    <row r="437" spans="1:51" ht="24" customHeight="1">
      <c r="A437" s="11"/>
      <c r="B437" s="11"/>
      <c r="C437" s="11"/>
      <c r="D437" s="11"/>
      <c r="E437" s="11"/>
      <c r="F437" s="11"/>
      <c r="G437" s="11"/>
      <c r="H437" s="11" t="str">
        <f>IF(AND(ROW()-1&lt;=教室申込!$K$5,教室申込!$K$7=0,COUNTA(教室申込!$C$4)=1),INDEX(展開用!$C$2:$C$601,MATCH(ROW()-1,展開用!$E$2:$E$601,0)),"")</f>
        <v/>
      </c>
      <c r="I437" s="11" t="str">
        <f>IF(AND(ROW()-1&lt;=教室申込!$K$5,教室申込!$K$7=0,COUNTA(教室申込!$C$4)=1),INDEX(展開用!$D$2:$D$601,MATCH(ROW()-1,展開用!$E$2:$E$601,0)),"")</f>
        <v/>
      </c>
      <c r="J437" s="11"/>
      <c r="K437" s="11"/>
      <c r="L437" s="11" t="str">
        <f>IF(AND(ROW()-1&lt;=教室申込!$K$5,教室申込!$K$7=0,COUNTA(教室申込!$C$4)=1),INDEX(教室申込!$B$1:$B$212,$AW437),"")</f>
        <v/>
      </c>
      <c r="M437" s="11" t="str">
        <f>IF(AND(ROW()-1&lt;=教室申込!$K$5,教室申込!$K$7=0,COUNTA(教室申込!$C$4)=1),INDEX(教室申込!$C$1:$C$212,$AW437),"")</f>
        <v/>
      </c>
      <c r="N437" s="11"/>
      <c r="O437" s="12" t="str">
        <f>IF(AND(ROW()-1&lt;=教室申込!$K$5,教室申込!$K$7=0,COUNTA(教室申込!$C$4)=1),INDEX(展開用!$G$2:$G$601,MATCH(ROW()-1,展開用!$E$2:$E$601,0)),"")</f>
        <v/>
      </c>
      <c r="P437" s="11"/>
      <c r="Q437" s="11"/>
      <c r="R437" s="11"/>
      <c r="S437" s="11"/>
      <c r="T437" s="11"/>
      <c r="U437" s="11" t="str">
        <f>IF(AND(ROW()-1&lt;=教室申込!$K$5,教室申込!$K$7=0,COUNTA(教室申込!$C$4)=1),INDEX(展開用!$F$2:$F$601,MATCH(ROW()-1,展開用!$E$2:$E$601,0)),"")</f>
        <v/>
      </c>
      <c r="V437" s="11"/>
      <c r="W437" s="11"/>
      <c r="X437" s="11"/>
      <c r="Y437" s="11"/>
      <c r="Z437" s="11"/>
      <c r="AA437" s="11" t="str">
        <f>IF($AW437="","",IF(INDEX(教室申込!$J$1:$J$212,$AW437)="","",INDEX(教室申込!$J$1:$J$212,$AW437)))</f>
        <v/>
      </c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" t="str">
        <f>IF(AND(ROW()-1&lt;=教室申込!$K$5,教室申込!$K$7=0,COUNTA(教室申込!$C$4)=1),INDEX(展開用!$B$2:$B$601,MATCH(ROW()-1,展開用!$E$2:$E$601,0)),"")</f>
        <v/>
      </c>
      <c r="AX437" s="1"/>
      <c r="AY437" s="1"/>
    </row>
    <row r="438" spans="1:51" ht="24" customHeight="1">
      <c r="A438" s="11"/>
      <c r="B438" s="11"/>
      <c r="C438" s="11"/>
      <c r="D438" s="11"/>
      <c r="E438" s="11"/>
      <c r="F438" s="11"/>
      <c r="G438" s="11"/>
      <c r="H438" s="11" t="str">
        <f>IF(AND(ROW()-1&lt;=教室申込!$K$5,教室申込!$K$7=0,COUNTA(教室申込!$C$4)=1),INDEX(展開用!$C$2:$C$601,MATCH(ROW()-1,展開用!$E$2:$E$601,0)),"")</f>
        <v/>
      </c>
      <c r="I438" s="11" t="str">
        <f>IF(AND(ROW()-1&lt;=教室申込!$K$5,教室申込!$K$7=0,COUNTA(教室申込!$C$4)=1),INDEX(展開用!$D$2:$D$601,MATCH(ROW()-1,展開用!$E$2:$E$601,0)),"")</f>
        <v/>
      </c>
      <c r="J438" s="11"/>
      <c r="K438" s="11"/>
      <c r="L438" s="11" t="str">
        <f>IF(AND(ROW()-1&lt;=教室申込!$K$5,教室申込!$K$7=0,COUNTA(教室申込!$C$4)=1),INDEX(教室申込!$B$1:$B$212,$AW438),"")</f>
        <v/>
      </c>
      <c r="M438" s="11" t="str">
        <f>IF(AND(ROW()-1&lt;=教室申込!$K$5,教室申込!$K$7=0,COUNTA(教室申込!$C$4)=1),INDEX(教室申込!$C$1:$C$212,$AW438),"")</f>
        <v/>
      </c>
      <c r="N438" s="11"/>
      <c r="O438" s="12" t="str">
        <f>IF(AND(ROW()-1&lt;=教室申込!$K$5,教室申込!$K$7=0,COUNTA(教室申込!$C$4)=1),INDEX(展開用!$G$2:$G$601,MATCH(ROW()-1,展開用!$E$2:$E$601,0)),"")</f>
        <v/>
      </c>
      <c r="P438" s="11"/>
      <c r="Q438" s="11"/>
      <c r="R438" s="11"/>
      <c r="S438" s="11"/>
      <c r="T438" s="11"/>
      <c r="U438" s="11" t="str">
        <f>IF(AND(ROW()-1&lt;=教室申込!$K$5,教室申込!$K$7=0,COUNTA(教室申込!$C$4)=1),INDEX(展開用!$F$2:$F$601,MATCH(ROW()-1,展開用!$E$2:$E$601,0)),"")</f>
        <v/>
      </c>
      <c r="V438" s="11"/>
      <c r="W438" s="11"/>
      <c r="X438" s="11"/>
      <c r="Y438" s="11"/>
      <c r="Z438" s="11"/>
      <c r="AA438" s="11" t="str">
        <f>IF($AW438="","",IF(INDEX(教室申込!$J$1:$J$212,$AW438)="","",INDEX(教室申込!$J$1:$J$212,$AW438)))</f>
        <v/>
      </c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" t="str">
        <f>IF(AND(ROW()-1&lt;=教室申込!$K$5,教室申込!$K$7=0,COUNTA(教室申込!$C$4)=1),INDEX(展開用!$B$2:$B$601,MATCH(ROW()-1,展開用!$E$2:$E$601,0)),"")</f>
        <v/>
      </c>
      <c r="AX438" s="1"/>
      <c r="AY438" s="1"/>
    </row>
    <row r="439" spans="1:51" ht="24" customHeight="1">
      <c r="A439" s="11"/>
      <c r="B439" s="11"/>
      <c r="C439" s="11"/>
      <c r="D439" s="11"/>
      <c r="E439" s="11"/>
      <c r="F439" s="11"/>
      <c r="G439" s="11"/>
      <c r="H439" s="11" t="str">
        <f>IF(AND(ROW()-1&lt;=教室申込!$K$5,教室申込!$K$7=0,COUNTA(教室申込!$C$4)=1),INDEX(展開用!$C$2:$C$601,MATCH(ROW()-1,展開用!$E$2:$E$601,0)),"")</f>
        <v/>
      </c>
      <c r="I439" s="11" t="str">
        <f>IF(AND(ROW()-1&lt;=教室申込!$K$5,教室申込!$K$7=0,COUNTA(教室申込!$C$4)=1),INDEX(展開用!$D$2:$D$601,MATCH(ROW()-1,展開用!$E$2:$E$601,0)),"")</f>
        <v/>
      </c>
      <c r="J439" s="11"/>
      <c r="K439" s="11"/>
      <c r="L439" s="11" t="str">
        <f>IF(AND(ROW()-1&lt;=教室申込!$K$5,教室申込!$K$7=0,COUNTA(教室申込!$C$4)=1),INDEX(教室申込!$B$1:$B$212,$AW439),"")</f>
        <v/>
      </c>
      <c r="M439" s="11" t="str">
        <f>IF(AND(ROW()-1&lt;=教室申込!$K$5,教室申込!$K$7=0,COUNTA(教室申込!$C$4)=1),INDEX(教室申込!$C$1:$C$212,$AW439),"")</f>
        <v/>
      </c>
      <c r="N439" s="11"/>
      <c r="O439" s="12" t="str">
        <f>IF(AND(ROW()-1&lt;=教室申込!$K$5,教室申込!$K$7=0,COUNTA(教室申込!$C$4)=1),INDEX(展開用!$G$2:$G$601,MATCH(ROW()-1,展開用!$E$2:$E$601,0)),"")</f>
        <v/>
      </c>
      <c r="P439" s="11"/>
      <c r="Q439" s="11"/>
      <c r="R439" s="11"/>
      <c r="S439" s="11"/>
      <c r="T439" s="11"/>
      <c r="U439" s="11" t="str">
        <f>IF(AND(ROW()-1&lt;=教室申込!$K$5,教室申込!$K$7=0,COUNTA(教室申込!$C$4)=1),INDEX(展開用!$F$2:$F$601,MATCH(ROW()-1,展開用!$E$2:$E$601,0)),"")</f>
        <v/>
      </c>
      <c r="V439" s="11"/>
      <c r="W439" s="11"/>
      <c r="X439" s="11"/>
      <c r="Y439" s="11"/>
      <c r="Z439" s="11"/>
      <c r="AA439" s="11" t="str">
        <f>IF($AW439="","",IF(INDEX(教室申込!$J$1:$J$212,$AW439)="","",INDEX(教室申込!$J$1:$J$212,$AW439)))</f>
        <v/>
      </c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" t="str">
        <f>IF(AND(ROW()-1&lt;=教室申込!$K$5,教室申込!$K$7=0,COUNTA(教室申込!$C$4)=1),INDEX(展開用!$B$2:$B$601,MATCH(ROW()-1,展開用!$E$2:$E$601,0)),"")</f>
        <v/>
      </c>
      <c r="AX439" s="1"/>
      <c r="AY439" s="1"/>
    </row>
    <row r="440" spans="1:51" ht="24" customHeight="1">
      <c r="A440" s="11"/>
      <c r="B440" s="11"/>
      <c r="C440" s="11"/>
      <c r="D440" s="11"/>
      <c r="E440" s="11"/>
      <c r="F440" s="11"/>
      <c r="G440" s="11"/>
      <c r="H440" s="11" t="str">
        <f>IF(AND(ROW()-1&lt;=教室申込!$K$5,教室申込!$K$7=0,COUNTA(教室申込!$C$4)=1),INDEX(展開用!$C$2:$C$601,MATCH(ROW()-1,展開用!$E$2:$E$601,0)),"")</f>
        <v/>
      </c>
      <c r="I440" s="11" t="str">
        <f>IF(AND(ROW()-1&lt;=教室申込!$K$5,教室申込!$K$7=0,COUNTA(教室申込!$C$4)=1),INDEX(展開用!$D$2:$D$601,MATCH(ROW()-1,展開用!$E$2:$E$601,0)),"")</f>
        <v/>
      </c>
      <c r="J440" s="11"/>
      <c r="K440" s="11"/>
      <c r="L440" s="11" t="str">
        <f>IF(AND(ROW()-1&lt;=教室申込!$K$5,教室申込!$K$7=0,COUNTA(教室申込!$C$4)=1),INDEX(教室申込!$B$1:$B$212,$AW440),"")</f>
        <v/>
      </c>
      <c r="M440" s="11" t="str">
        <f>IF(AND(ROW()-1&lt;=教室申込!$K$5,教室申込!$K$7=0,COUNTA(教室申込!$C$4)=1),INDEX(教室申込!$C$1:$C$212,$AW440),"")</f>
        <v/>
      </c>
      <c r="N440" s="11"/>
      <c r="O440" s="12" t="str">
        <f>IF(AND(ROW()-1&lt;=教室申込!$K$5,教室申込!$K$7=0,COUNTA(教室申込!$C$4)=1),INDEX(展開用!$G$2:$G$601,MATCH(ROW()-1,展開用!$E$2:$E$601,0)),"")</f>
        <v/>
      </c>
      <c r="P440" s="11"/>
      <c r="Q440" s="11"/>
      <c r="R440" s="11"/>
      <c r="S440" s="11"/>
      <c r="T440" s="11"/>
      <c r="U440" s="11" t="str">
        <f>IF(AND(ROW()-1&lt;=教室申込!$K$5,教室申込!$K$7=0,COUNTA(教室申込!$C$4)=1),INDEX(展開用!$F$2:$F$601,MATCH(ROW()-1,展開用!$E$2:$E$601,0)),"")</f>
        <v/>
      </c>
      <c r="V440" s="11"/>
      <c r="W440" s="11"/>
      <c r="X440" s="11"/>
      <c r="Y440" s="11"/>
      <c r="Z440" s="11"/>
      <c r="AA440" s="11" t="str">
        <f>IF($AW440="","",IF(INDEX(教室申込!$J$1:$J$212,$AW440)="","",INDEX(教室申込!$J$1:$J$212,$AW440)))</f>
        <v/>
      </c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" t="str">
        <f>IF(AND(ROW()-1&lt;=教室申込!$K$5,教室申込!$K$7=0,COUNTA(教室申込!$C$4)=1),INDEX(展開用!$B$2:$B$601,MATCH(ROW()-1,展開用!$E$2:$E$601,0)),"")</f>
        <v/>
      </c>
      <c r="AX440" s="1"/>
      <c r="AY440" s="1"/>
    </row>
    <row r="441" spans="1:51" ht="24" customHeight="1">
      <c r="A441" s="11"/>
      <c r="B441" s="11"/>
      <c r="C441" s="11"/>
      <c r="D441" s="11"/>
      <c r="E441" s="11"/>
      <c r="F441" s="11"/>
      <c r="G441" s="11"/>
      <c r="H441" s="11" t="str">
        <f>IF(AND(ROW()-1&lt;=教室申込!$K$5,教室申込!$K$7=0,COUNTA(教室申込!$C$4)=1),INDEX(展開用!$C$2:$C$601,MATCH(ROW()-1,展開用!$E$2:$E$601,0)),"")</f>
        <v/>
      </c>
      <c r="I441" s="11" t="str">
        <f>IF(AND(ROW()-1&lt;=教室申込!$K$5,教室申込!$K$7=0,COUNTA(教室申込!$C$4)=1),INDEX(展開用!$D$2:$D$601,MATCH(ROW()-1,展開用!$E$2:$E$601,0)),"")</f>
        <v/>
      </c>
      <c r="J441" s="11"/>
      <c r="K441" s="11"/>
      <c r="L441" s="11" t="str">
        <f>IF(AND(ROW()-1&lt;=教室申込!$K$5,教室申込!$K$7=0,COUNTA(教室申込!$C$4)=1),INDEX(教室申込!$B$1:$B$212,$AW441),"")</f>
        <v/>
      </c>
      <c r="M441" s="11" t="str">
        <f>IF(AND(ROW()-1&lt;=教室申込!$K$5,教室申込!$K$7=0,COUNTA(教室申込!$C$4)=1),INDEX(教室申込!$C$1:$C$212,$AW441),"")</f>
        <v/>
      </c>
      <c r="N441" s="11"/>
      <c r="O441" s="12" t="str">
        <f>IF(AND(ROW()-1&lt;=教室申込!$K$5,教室申込!$K$7=0,COUNTA(教室申込!$C$4)=1),INDEX(展開用!$G$2:$G$601,MATCH(ROW()-1,展開用!$E$2:$E$601,0)),"")</f>
        <v/>
      </c>
      <c r="P441" s="11"/>
      <c r="Q441" s="11"/>
      <c r="R441" s="11"/>
      <c r="S441" s="11"/>
      <c r="T441" s="11"/>
      <c r="U441" s="11" t="str">
        <f>IF(AND(ROW()-1&lt;=教室申込!$K$5,教室申込!$K$7=0,COUNTA(教室申込!$C$4)=1),INDEX(展開用!$F$2:$F$601,MATCH(ROW()-1,展開用!$E$2:$E$601,0)),"")</f>
        <v/>
      </c>
      <c r="V441" s="11"/>
      <c r="W441" s="11"/>
      <c r="X441" s="11"/>
      <c r="Y441" s="11"/>
      <c r="Z441" s="11"/>
      <c r="AA441" s="11" t="str">
        <f>IF($AW441="","",IF(INDEX(教室申込!$J$1:$J$212,$AW441)="","",INDEX(教室申込!$J$1:$J$212,$AW441)))</f>
        <v/>
      </c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" t="str">
        <f>IF(AND(ROW()-1&lt;=教室申込!$K$5,教室申込!$K$7=0,COUNTA(教室申込!$C$4)=1),INDEX(展開用!$B$2:$B$601,MATCH(ROW()-1,展開用!$E$2:$E$601,0)),"")</f>
        <v/>
      </c>
      <c r="AX441" s="1"/>
      <c r="AY441" s="1"/>
    </row>
    <row r="442" spans="1:51" ht="24" customHeight="1">
      <c r="A442" s="11"/>
      <c r="B442" s="11"/>
      <c r="C442" s="11"/>
      <c r="D442" s="11"/>
      <c r="E442" s="11"/>
      <c r="F442" s="11"/>
      <c r="G442" s="11"/>
      <c r="H442" s="11" t="str">
        <f>IF(AND(ROW()-1&lt;=教室申込!$K$5,教室申込!$K$7=0,COUNTA(教室申込!$C$4)=1),INDEX(展開用!$C$2:$C$601,MATCH(ROW()-1,展開用!$E$2:$E$601,0)),"")</f>
        <v/>
      </c>
      <c r="I442" s="11" t="str">
        <f>IF(AND(ROW()-1&lt;=教室申込!$K$5,教室申込!$K$7=0,COUNTA(教室申込!$C$4)=1),INDEX(展開用!$D$2:$D$601,MATCH(ROW()-1,展開用!$E$2:$E$601,0)),"")</f>
        <v/>
      </c>
      <c r="J442" s="11"/>
      <c r="K442" s="11"/>
      <c r="L442" s="11" t="str">
        <f>IF(AND(ROW()-1&lt;=教室申込!$K$5,教室申込!$K$7=0,COUNTA(教室申込!$C$4)=1),INDEX(教室申込!$B$1:$B$212,$AW442),"")</f>
        <v/>
      </c>
      <c r="M442" s="11" t="str">
        <f>IF(AND(ROW()-1&lt;=教室申込!$K$5,教室申込!$K$7=0,COUNTA(教室申込!$C$4)=1),INDEX(教室申込!$C$1:$C$212,$AW442),"")</f>
        <v/>
      </c>
      <c r="N442" s="11"/>
      <c r="O442" s="12" t="str">
        <f>IF(AND(ROW()-1&lt;=教室申込!$K$5,教室申込!$K$7=0,COUNTA(教室申込!$C$4)=1),INDEX(展開用!$G$2:$G$601,MATCH(ROW()-1,展開用!$E$2:$E$601,0)),"")</f>
        <v/>
      </c>
      <c r="P442" s="11"/>
      <c r="Q442" s="11"/>
      <c r="R442" s="11"/>
      <c r="S442" s="11"/>
      <c r="T442" s="11"/>
      <c r="U442" s="11" t="str">
        <f>IF(AND(ROW()-1&lt;=教室申込!$K$5,教室申込!$K$7=0,COUNTA(教室申込!$C$4)=1),INDEX(展開用!$F$2:$F$601,MATCH(ROW()-1,展開用!$E$2:$E$601,0)),"")</f>
        <v/>
      </c>
      <c r="V442" s="11"/>
      <c r="W442" s="11"/>
      <c r="X442" s="11"/>
      <c r="Y442" s="11"/>
      <c r="Z442" s="11"/>
      <c r="AA442" s="11" t="str">
        <f>IF($AW442="","",IF(INDEX(教室申込!$J$1:$J$212,$AW442)="","",INDEX(教室申込!$J$1:$J$212,$AW442)))</f>
        <v/>
      </c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" t="str">
        <f>IF(AND(ROW()-1&lt;=教室申込!$K$5,教室申込!$K$7=0,COUNTA(教室申込!$C$4)=1),INDEX(展開用!$B$2:$B$601,MATCH(ROW()-1,展開用!$E$2:$E$601,0)),"")</f>
        <v/>
      </c>
      <c r="AX442" s="1"/>
      <c r="AY442" s="1"/>
    </row>
    <row r="443" spans="1:51" ht="24" customHeight="1">
      <c r="A443" s="11"/>
      <c r="B443" s="11"/>
      <c r="C443" s="11"/>
      <c r="D443" s="11"/>
      <c r="E443" s="11"/>
      <c r="F443" s="11"/>
      <c r="G443" s="11"/>
      <c r="H443" s="11" t="str">
        <f>IF(AND(ROW()-1&lt;=教室申込!$K$5,教室申込!$K$7=0,COUNTA(教室申込!$C$4)=1),INDEX(展開用!$C$2:$C$601,MATCH(ROW()-1,展開用!$E$2:$E$601,0)),"")</f>
        <v/>
      </c>
      <c r="I443" s="11" t="str">
        <f>IF(AND(ROW()-1&lt;=教室申込!$K$5,教室申込!$K$7=0,COUNTA(教室申込!$C$4)=1),INDEX(展開用!$D$2:$D$601,MATCH(ROW()-1,展開用!$E$2:$E$601,0)),"")</f>
        <v/>
      </c>
      <c r="J443" s="11"/>
      <c r="K443" s="11"/>
      <c r="L443" s="11" t="str">
        <f>IF(AND(ROW()-1&lt;=教室申込!$K$5,教室申込!$K$7=0,COUNTA(教室申込!$C$4)=1),INDEX(教室申込!$B$1:$B$212,$AW443),"")</f>
        <v/>
      </c>
      <c r="M443" s="11" t="str">
        <f>IF(AND(ROW()-1&lt;=教室申込!$K$5,教室申込!$K$7=0,COUNTA(教室申込!$C$4)=1),INDEX(教室申込!$C$1:$C$212,$AW443),"")</f>
        <v/>
      </c>
      <c r="N443" s="11"/>
      <c r="O443" s="12" t="str">
        <f>IF(AND(ROW()-1&lt;=教室申込!$K$5,教室申込!$K$7=0,COUNTA(教室申込!$C$4)=1),INDEX(展開用!$G$2:$G$601,MATCH(ROW()-1,展開用!$E$2:$E$601,0)),"")</f>
        <v/>
      </c>
      <c r="P443" s="11"/>
      <c r="Q443" s="11"/>
      <c r="R443" s="11"/>
      <c r="S443" s="11"/>
      <c r="T443" s="11"/>
      <c r="U443" s="11" t="str">
        <f>IF(AND(ROW()-1&lt;=教室申込!$K$5,教室申込!$K$7=0,COUNTA(教室申込!$C$4)=1),INDEX(展開用!$F$2:$F$601,MATCH(ROW()-1,展開用!$E$2:$E$601,0)),"")</f>
        <v/>
      </c>
      <c r="V443" s="11"/>
      <c r="W443" s="11"/>
      <c r="X443" s="11"/>
      <c r="Y443" s="11"/>
      <c r="Z443" s="11"/>
      <c r="AA443" s="11" t="str">
        <f>IF($AW443="","",IF(INDEX(教室申込!$J$1:$J$212,$AW443)="","",INDEX(教室申込!$J$1:$J$212,$AW443)))</f>
        <v/>
      </c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" t="str">
        <f>IF(AND(ROW()-1&lt;=教室申込!$K$5,教室申込!$K$7=0,COUNTA(教室申込!$C$4)=1),INDEX(展開用!$B$2:$B$601,MATCH(ROW()-1,展開用!$E$2:$E$601,0)),"")</f>
        <v/>
      </c>
      <c r="AX443" s="1"/>
      <c r="AY443" s="1"/>
    </row>
    <row r="444" spans="1:51" ht="24" customHeight="1">
      <c r="A444" s="11"/>
      <c r="B444" s="11"/>
      <c r="C444" s="11"/>
      <c r="D444" s="11"/>
      <c r="E444" s="11"/>
      <c r="F444" s="11"/>
      <c r="G444" s="11"/>
      <c r="H444" s="11" t="str">
        <f>IF(AND(ROW()-1&lt;=教室申込!$K$5,教室申込!$K$7=0,COUNTA(教室申込!$C$4)=1),INDEX(展開用!$C$2:$C$601,MATCH(ROW()-1,展開用!$E$2:$E$601,0)),"")</f>
        <v/>
      </c>
      <c r="I444" s="11" t="str">
        <f>IF(AND(ROW()-1&lt;=教室申込!$K$5,教室申込!$K$7=0,COUNTA(教室申込!$C$4)=1),INDEX(展開用!$D$2:$D$601,MATCH(ROW()-1,展開用!$E$2:$E$601,0)),"")</f>
        <v/>
      </c>
      <c r="J444" s="11"/>
      <c r="K444" s="11"/>
      <c r="L444" s="11" t="str">
        <f>IF(AND(ROW()-1&lt;=教室申込!$K$5,教室申込!$K$7=0,COUNTA(教室申込!$C$4)=1),INDEX(教室申込!$B$1:$B$212,$AW444),"")</f>
        <v/>
      </c>
      <c r="M444" s="11" t="str">
        <f>IF(AND(ROW()-1&lt;=教室申込!$K$5,教室申込!$K$7=0,COUNTA(教室申込!$C$4)=1),INDEX(教室申込!$C$1:$C$212,$AW444),"")</f>
        <v/>
      </c>
      <c r="N444" s="11"/>
      <c r="O444" s="12" t="str">
        <f>IF(AND(ROW()-1&lt;=教室申込!$K$5,教室申込!$K$7=0,COUNTA(教室申込!$C$4)=1),INDEX(展開用!$G$2:$G$601,MATCH(ROW()-1,展開用!$E$2:$E$601,0)),"")</f>
        <v/>
      </c>
      <c r="P444" s="11"/>
      <c r="Q444" s="11"/>
      <c r="R444" s="11"/>
      <c r="S444" s="11"/>
      <c r="T444" s="11"/>
      <c r="U444" s="11" t="str">
        <f>IF(AND(ROW()-1&lt;=教室申込!$K$5,教室申込!$K$7=0,COUNTA(教室申込!$C$4)=1),INDEX(展開用!$F$2:$F$601,MATCH(ROW()-1,展開用!$E$2:$E$601,0)),"")</f>
        <v/>
      </c>
      <c r="V444" s="11"/>
      <c r="W444" s="11"/>
      <c r="X444" s="11"/>
      <c r="Y444" s="11"/>
      <c r="Z444" s="11"/>
      <c r="AA444" s="11" t="str">
        <f>IF($AW444="","",IF(INDEX(教室申込!$J$1:$J$212,$AW444)="","",INDEX(教室申込!$J$1:$J$212,$AW444)))</f>
        <v/>
      </c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" t="str">
        <f>IF(AND(ROW()-1&lt;=教室申込!$K$5,教室申込!$K$7=0,COUNTA(教室申込!$C$4)=1),INDEX(展開用!$B$2:$B$601,MATCH(ROW()-1,展開用!$E$2:$E$601,0)),"")</f>
        <v/>
      </c>
      <c r="AX444" s="1"/>
      <c r="AY444" s="1"/>
    </row>
    <row r="445" spans="1:51" ht="24" customHeight="1">
      <c r="A445" s="11"/>
      <c r="B445" s="11"/>
      <c r="C445" s="11"/>
      <c r="D445" s="11"/>
      <c r="E445" s="11"/>
      <c r="F445" s="11"/>
      <c r="G445" s="11"/>
      <c r="H445" s="11" t="str">
        <f>IF(AND(ROW()-1&lt;=教室申込!$K$5,教室申込!$K$7=0,COUNTA(教室申込!$C$4)=1),INDEX(展開用!$C$2:$C$601,MATCH(ROW()-1,展開用!$E$2:$E$601,0)),"")</f>
        <v/>
      </c>
      <c r="I445" s="11" t="str">
        <f>IF(AND(ROW()-1&lt;=教室申込!$K$5,教室申込!$K$7=0,COUNTA(教室申込!$C$4)=1),INDEX(展開用!$D$2:$D$601,MATCH(ROW()-1,展開用!$E$2:$E$601,0)),"")</f>
        <v/>
      </c>
      <c r="J445" s="11"/>
      <c r="K445" s="11"/>
      <c r="L445" s="11" t="str">
        <f>IF(AND(ROW()-1&lt;=教室申込!$K$5,教室申込!$K$7=0,COUNTA(教室申込!$C$4)=1),INDEX(教室申込!$B$1:$B$212,$AW445),"")</f>
        <v/>
      </c>
      <c r="M445" s="11" t="str">
        <f>IF(AND(ROW()-1&lt;=教室申込!$K$5,教室申込!$K$7=0,COUNTA(教室申込!$C$4)=1),INDEX(教室申込!$C$1:$C$212,$AW445),"")</f>
        <v/>
      </c>
      <c r="N445" s="11"/>
      <c r="O445" s="12" t="str">
        <f>IF(AND(ROW()-1&lt;=教室申込!$K$5,教室申込!$K$7=0,COUNTA(教室申込!$C$4)=1),INDEX(展開用!$G$2:$G$601,MATCH(ROW()-1,展開用!$E$2:$E$601,0)),"")</f>
        <v/>
      </c>
      <c r="P445" s="11"/>
      <c r="Q445" s="11"/>
      <c r="R445" s="11"/>
      <c r="S445" s="11"/>
      <c r="T445" s="11"/>
      <c r="U445" s="11" t="str">
        <f>IF(AND(ROW()-1&lt;=教室申込!$K$5,教室申込!$K$7=0,COUNTA(教室申込!$C$4)=1),INDEX(展開用!$F$2:$F$601,MATCH(ROW()-1,展開用!$E$2:$E$601,0)),"")</f>
        <v/>
      </c>
      <c r="V445" s="11"/>
      <c r="W445" s="11"/>
      <c r="X445" s="11"/>
      <c r="Y445" s="11"/>
      <c r="Z445" s="11"/>
      <c r="AA445" s="11" t="str">
        <f>IF($AW445="","",IF(INDEX(教室申込!$J$1:$J$212,$AW445)="","",INDEX(教室申込!$J$1:$J$212,$AW445)))</f>
        <v/>
      </c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" t="str">
        <f>IF(AND(ROW()-1&lt;=教室申込!$K$5,教室申込!$K$7=0,COUNTA(教室申込!$C$4)=1),INDEX(展開用!$B$2:$B$601,MATCH(ROW()-1,展開用!$E$2:$E$601,0)),"")</f>
        <v/>
      </c>
      <c r="AX445" s="1"/>
      <c r="AY445" s="1"/>
    </row>
    <row r="446" spans="1:51" ht="24" customHeight="1">
      <c r="A446" s="11"/>
      <c r="B446" s="11"/>
      <c r="C446" s="11"/>
      <c r="D446" s="11"/>
      <c r="E446" s="11"/>
      <c r="F446" s="11"/>
      <c r="G446" s="11"/>
      <c r="H446" s="11" t="str">
        <f>IF(AND(ROW()-1&lt;=教室申込!$K$5,教室申込!$K$7=0,COUNTA(教室申込!$C$4)=1),INDEX(展開用!$C$2:$C$601,MATCH(ROW()-1,展開用!$E$2:$E$601,0)),"")</f>
        <v/>
      </c>
      <c r="I446" s="11" t="str">
        <f>IF(AND(ROW()-1&lt;=教室申込!$K$5,教室申込!$K$7=0,COUNTA(教室申込!$C$4)=1),INDEX(展開用!$D$2:$D$601,MATCH(ROW()-1,展開用!$E$2:$E$601,0)),"")</f>
        <v/>
      </c>
      <c r="J446" s="11"/>
      <c r="K446" s="11"/>
      <c r="L446" s="11" t="str">
        <f>IF(AND(ROW()-1&lt;=教室申込!$K$5,教室申込!$K$7=0,COUNTA(教室申込!$C$4)=1),INDEX(教室申込!$B$1:$B$212,$AW446),"")</f>
        <v/>
      </c>
      <c r="M446" s="11" t="str">
        <f>IF(AND(ROW()-1&lt;=教室申込!$K$5,教室申込!$K$7=0,COUNTA(教室申込!$C$4)=1),INDEX(教室申込!$C$1:$C$212,$AW446),"")</f>
        <v/>
      </c>
      <c r="N446" s="11"/>
      <c r="O446" s="12" t="str">
        <f>IF(AND(ROW()-1&lt;=教室申込!$K$5,教室申込!$K$7=0,COUNTA(教室申込!$C$4)=1),INDEX(展開用!$G$2:$G$601,MATCH(ROW()-1,展開用!$E$2:$E$601,0)),"")</f>
        <v/>
      </c>
      <c r="P446" s="11"/>
      <c r="Q446" s="11"/>
      <c r="R446" s="11"/>
      <c r="S446" s="11"/>
      <c r="T446" s="11"/>
      <c r="U446" s="11" t="str">
        <f>IF(AND(ROW()-1&lt;=教室申込!$K$5,教室申込!$K$7=0,COUNTA(教室申込!$C$4)=1),INDEX(展開用!$F$2:$F$601,MATCH(ROW()-1,展開用!$E$2:$E$601,0)),"")</f>
        <v/>
      </c>
      <c r="V446" s="11"/>
      <c r="W446" s="11"/>
      <c r="X446" s="11"/>
      <c r="Y446" s="11"/>
      <c r="Z446" s="11"/>
      <c r="AA446" s="11" t="str">
        <f>IF($AW446="","",IF(INDEX(教室申込!$J$1:$J$212,$AW446)="","",INDEX(教室申込!$J$1:$J$212,$AW446)))</f>
        <v/>
      </c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" t="str">
        <f>IF(AND(ROW()-1&lt;=教室申込!$K$5,教室申込!$K$7=0,COUNTA(教室申込!$C$4)=1),INDEX(展開用!$B$2:$B$601,MATCH(ROW()-1,展開用!$E$2:$E$601,0)),"")</f>
        <v/>
      </c>
      <c r="AX446" s="1"/>
      <c r="AY446" s="1"/>
    </row>
    <row r="447" spans="1:51" ht="24" customHeight="1">
      <c r="A447" s="11"/>
      <c r="B447" s="11"/>
      <c r="C447" s="11"/>
      <c r="D447" s="11"/>
      <c r="E447" s="11"/>
      <c r="F447" s="11"/>
      <c r="G447" s="11"/>
      <c r="H447" s="11" t="str">
        <f>IF(AND(ROW()-1&lt;=教室申込!$K$5,教室申込!$K$7=0,COUNTA(教室申込!$C$4)=1),INDEX(展開用!$C$2:$C$601,MATCH(ROW()-1,展開用!$E$2:$E$601,0)),"")</f>
        <v/>
      </c>
      <c r="I447" s="11" t="str">
        <f>IF(AND(ROW()-1&lt;=教室申込!$K$5,教室申込!$K$7=0,COUNTA(教室申込!$C$4)=1),INDEX(展開用!$D$2:$D$601,MATCH(ROW()-1,展開用!$E$2:$E$601,0)),"")</f>
        <v/>
      </c>
      <c r="J447" s="11"/>
      <c r="K447" s="11"/>
      <c r="L447" s="11" t="str">
        <f>IF(AND(ROW()-1&lt;=教室申込!$K$5,教室申込!$K$7=0,COUNTA(教室申込!$C$4)=1),INDEX(教室申込!$B$1:$B$212,$AW447),"")</f>
        <v/>
      </c>
      <c r="M447" s="11" t="str">
        <f>IF(AND(ROW()-1&lt;=教室申込!$K$5,教室申込!$K$7=0,COUNTA(教室申込!$C$4)=1),INDEX(教室申込!$C$1:$C$212,$AW447),"")</f>
        <v/>
      </c>
      <c r="N447" s="11"/>
      <c r="O447" s="12" t="str">
        <f>IF(AND(ROW()-1&lt;=教室申込!$K$5,教室申込!$K$7=0,COUNTA(教室申込!$C$4)=1),INDEX(展開用!$G$2:$G$601,MATCH(ROW()-1,展開用!$E$2:$E$601,0)),"")</f>
        <v/>
      </c>
      <c r="P447" s="11"/>
      <c r="Q447" s="11"/>
      <c r="R447" s="11"/>
      <c r="S447" s="11"/>
      <c r="T447" s="11"/>
      <c r="U447" s="11" t="str">
        <f>IF(AND(ROW()-1&lt;=教室申込!$K$5,教室申込!$K$7=0,COUNTA(教室申込!$C$4)=1),INDEX(展開用!$F$2:$F$601,MATCH(ROW()-1,展開用!$E$2:$E$601,0)),"")</f>
        <v/>
      </c>
      <c r="V447" s="11"/>
      <c r="W447" s="11"/>
      <c r="X447" s="11"/>
      <c r="Y447" s="11"/>
      <c r="Z447" s="11"/>
      <c r="AA447" s="11" t="str">
        <f>IF($AW447="","",IF(INDEX(教室申込!$J$1:$J$212,$AW447)="","",INDEX(教室申込!$J$1:$J$212,$AW447)))</f>
        <v/>
      </c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" t="str">
        <f>IF(AND(ROW()-1&lt;=教室申込!$K$5,教室申込!$K$7=0,COUNTA(教室申込!$C$4)=1),INDEX(展開用!$B$2:$B$601,MATCH(ROW()-1,展開用!$E$2:$E$601,0)),"")</f>
        <v/>
      </c>
      <c r="AX447" s="1"/>
      <c r="AY447" s="1"/>
    </row>
    <row r="448" spans="1:51" ht="24" customHeight="1">
      <c r="A448" s="11"/>
      <c r="B448" s="11"/>
      <c r="C448" s="11"/>
      <c r="D448" s="11"/>
      <c r="E448" s="11"/>
      <c r="F448" s="11"/>
      <c r="G448" s="11"/>
      <c r="H448" s="11" t="str">
        <f>IF(AND(ROW()-1&lt;=教室申込!$K$5,教室申込!$K$7=0,COUNTA(教室申込!$C$4)=1),INDEX(展開用!$C$2:$C$601,MATCH(ROW()-1,展開用!$E$2:$E$601,0)),"")</f>
        <v/>
      </c>
      <c r="I448" s="11" t="str">
        <f>IF(AND(ROW()-1&lt;=教室申込!$K$5,教室申込!$K$7=0,COUNTA(教室申込!$C$4)=1),INDEX(展開用!$D$2:$D$601,MATCH(ROW()-1,展開用!$E$2:$E$601,0)),"")</f>
        <v/>
      </c>
      <c r="J448" s="11"/>
      <c r="K448" s="11"/>
      <c r="L448" s="11" t="str">
        <f>IF(AND(ROW()-1&lt;=教室申込!$K$5,教室申込!$K$7=0,COUNTA(教室申込!$C$4)=1),INDEX(教室申込!$B$1:$B$212,$AW448),"")</f>
        <v/>
      </c>
      <c r="M448" s="11" t="str">
        <f>IF(AND(ROW()-1&lt;=教室申込!$K$5,教室申込!$K$7=0,COUNTA(教室申込!$C$4)=1),INDEX(教室申込!$C$1:$C$212,$AW448),"")</f>
        <v/>
      </c>
      <c r="N448" s="11"/>
      <c r="O448" s="12" t="str">
        <f>IF(AND(ROW()-1&lt;=教室申込!$K$5,教室申込!$K$7=0,COUNTA(教室申込!$C$4)=1),INDEX(展開用!$G$2:$G$601,MATCH(ROW()-1,展開用!$E$2:$E$601,0)),"")</f>
        <v/>
      </c>
      <c r="P448" s="11"/>
      <c r="Q448" s="11"/>
      <c r="R448" s="11"/>
      <c r="S448" s="11"/>
      <c r="T448" s="11"/>
      <c r="U448" s="11" t="str">
        <f>IF(AND(ROW()-1&lt;=教室申込!$K$5,教室申込!$K$7=0,COUNTA(教室申込!$C$4)=1),INDEX(展開用!$F$2:$F$601,MATCH(ROW()-1,展開用!$E$2:$E$601,0)),"")</f>
        <v/>
      </c>
      <c r="V448" s="11"/>
      <c r="W448" s="11"/>
      <c r="X448" s="11"/>
      <c r="Y448" s="11"/>
      <c r="Z448" s="11"/>
      <c r="AA448" s="11" t="str">
        <f>IF($AW448="","",IF(INDEX(教室申込!$J$1:$J$212,$AW448)="","",INDEX(教室申込!$J$1:$J$212,$AW448)))</f>
        <v/>
      </c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" t="str">
        <f>IF(AND(ROW()-1&lt;=教室申込!$K$5,教室申込!$K$7=0,COUNTA(教室申込!$C$4)=1),INDEX(展開用!$B$2:$B$601,MATCH(ROW()-1,展開用!$E$2:$E$601,0)),"")</f>
        <v/>
      </c>
      <c r="AX448" s="1"/>
      <c r="AY448" s="1"/>
    </row>
    <row r="449" spans="1:51" ht="24" customHeight="1">
      <c r="A449" s="11"/>
      <c r="B449" s="11"/>
      <c r="C449" s="11"/>
      <c r="D449" s="11"/>
      <c r="E449" s="11"/>
      <c r="F449" s="11"/>
      <c r="G449" s="11"/>
      <c r="H449" s="11" t="str">
        <f>IF(AND(ROW()-1&lt;=教室申込!$K$5,教室申込!$K$7=0,COUNTA(教室申込!$C$4)=1),INDEX(展開用!$C$2:$C$601,MATCH(ROW()-1,展開用!$E$2:$E$601,0)),"")</f>
        <v/>
      </c>
      <c r="I449" s="11" t="str">
        <f>IF(AND(ROW()-1&lt;=教室申込!$K$5,教室申込!$K$7=0,COUNTA(教室申込!$C$4)=1),INDEX(展開用!$D$2:$D$601,MATCH(ROW()-1,展開用!$E$2:$E$601,0)),"")</f>
        <v/>
      </c>
      <c r="J449" s="11"/>
      <c r="K449" s="11"/>
      <c r="L449" s="11" t="str">
        <f>IF(AND(ROW()-1&lt;=教室申込!$K$5,教室申込!$K$7=0,COUNTA(教室申込!$C$4)=1),INDEX(教室申込!$B$1:$B$212,$AW449),"")</f>
        <v/>
      </c>
      <c r="M449" s="11" t="str">
        <f>IF(AND(ROW()-1&lt;=教室申込!$K$5,教室申込!$K$7=0,COUNTA(教室申込!$C$4)=1),INDEX(教室申込!$C$1:$C$212,$AW449),"")</f>
        <v/>
      </c>
      <c r="N449" s="11"/>
      <c r="O449" s="12" t="str">
        <f>IF(AND(ROW()-1&lt;=教室申込!$K$5,教室申込!$K$7=0,COUNTA(教室申込!$C$4)=1),INDEX(展開用!$G$2:$G$601,MATCH(ROW()-1,展開用!$E$2:$E$601,0)),"")</f>
        <v/>
      </c>
      <c r="P449" s="11"/>
      <c r="Q449" s="11"/>
      <c r="R449" s="11"/>
      <c r="S449" s="11"/>
      <c r="T449" s="11"/>
      <c r="U449" s="11" t="str">
        <f>IF(AND(ROW()-1&lt;=教室申込!$K$5,教室申込!$K$7=0,COUNTA(教室申込!$C$4)=1),INDEX(展開用!$F$2:$F$601,MATCH(ROW()-1,展開用!$E$2:$E$601,0)),"")</f>
        <v/>
      </c>
      <c r="V449" s="11"/>
      <c r="W449" s="11"/>
      <c r="X449" s="11"/>
      <c r="Y449" s="11"/>
      <c r="Z449" s="11"/>
      <c r="AA449" s="11" t="str">
        <f>IF($AW449="","",IF(INDEX(教室申込!$J$1:$J$212,$AW449)="","",INDEX(教室申込!$J$1:$J$212,$AW449)))</f>
        <v/>
      </c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" t="str">
        <f>IF(AND(ROW()-1&lt;=教室申込!$K$5,教室申込!$K$7=0,COUNTA(教室申込!$C$4)=1),INDEX(展開用!$B$2:$B$601,MATCH(ROW()-1,展開用!$E$2:$E$601,0)),"")</f>
        <v/>
      </c>
      <c r="AX449" s="1"/>
      <c r="AY449" s="1"/>
    </row>
    <row r="450" spans="1:51" ht="24" customHeight="1">
      <c r="A450" s="11"/>
      <c r="B450" s="11"/>
      <c r="C450" s="11"/>
      <c r="D450" s="11"/>
      <c r="E450" s="11"/>
      <c r="F450" s="11"/>
      <c r="G450" s="11"/>
      <c r="H450" s="11" t="str">
        <f>IF(AND(ROW()-1&lt;=教室申込!$K$5,教室申込!$K$7=0,COUNTA(教室申込!$C$4)=1),INDEX(展開用!$C$2:$C$601,MATCH(ROW()-1,展開用!$E$2:$E$601,0)),"")</f>
        <v/>
      </c>
      <c r="I450" s="11" t="str">
        <f>IF(AND(ROW()-1&lt;=教室申込!$K$5,教室申込!$K$7=0,COUNTA(教室申込!$C$4)=1),INDEX(展開用!$D$2:$D$601,MATCH(ROW()-1,展開用!$E$2:$E$601,0)),"")</f>
        <v/>
      </c>
      <c r="J450" s="11"/>
      <c r="K450" s="11"/>
      <c r="L450" s="11" t="str">
        <f>IF(AND(ROW()-1&lt;=教室申込!$K$5,教室申込!$K$7=0,COUNTA(教室申込!$C$4)=1),INDEX(教室申込!$B$1:$B$212,$AW450),"")</f>
        <v/>
      </c>
      <c r="M450" s="11" t="str">
        <f>IF(AND(ROW()-1&lt;=教室申込!$K$5,教室申込!$K$7=0,COUNTA(教室申込!$C$4)=1),INDEX(教室申込!$C$1:$C$212,$AW450),"")</f>
        <v/>
      </c>
      <c r="N450" s="11"/>
      <c r="O450" s="12" t="str">
        <f>IF(AND(ROW()-1&lt;=教室申込!$K$5,教室申込!$K$7=0,COUNTA(教室申込!$C$4)=1),INDEX(展開用!$G$2:$G$601,MATCH(ROW()-1,展開用!$E$2:$E$601,0)),"")</f>
        <v/>
      </c>
      <c r="P450" s="11"/>
      <c r="Q450" s="11"/>
      <c r="R450" s="11"/>
      <c r="S450" s="11"/>
      <c r="T450" s="11"/>
      <c r="U450" s="11" t="str">
        <f>IF(AND(ROW()-1&lt;=教室申込!$K$5,教室申込!$K$7=0,COUNTA(教室申込!$C$4)=1),INDEX(展開用!$F$2:$F$601,MATCH(ROW()-1,展開用!$E$2:$E$601,0)),"")</f>
        <v/>
      </c>
      <c r="V450" s="11"/>
      <c r="W450" s="11"/>
      <c r="X450" s="11"/>
      <c r="Y450" s="11"/>
      <c r="Z450" s="11"/>
      <c r="AA450" s="11" t="str">
        <f>IF($AW450="","",IF(INDEX(教室申込!$J$1:$J$212,$AW450)="","",INDEX(教室申込!$J$1:$J$212,$AW450)))</f>
        <v/>
      </c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" t="str">
        <f>IF(AND(ROW()-1&lt;=教室申込!$K$5,教室申込!$K$7=0,COUNTA(教室申込!$C$4)=1),INDEX(展開用!$B$2:$B$601,MATCH(ROW()-1,展開用!$E$2:$E$601,0)),"")</f>
        <v/>
      </c>
      <c r="AX450" s="1"/>
      <c r="AY450" s="1"/>
    </row>
    <row r="451" spans="1:51" ht="24" customHeight="1">
      <c r="A451" s="11"/>
      <c r="B451" s="11"/>
      <c r="C451" s="11"/>
      <c r="D451" s="11"/>
      <c r="E451" s="11"/>
      <c r="F451" s="11"/>
      <c r="G451" s="11"/>
      <c r="H451" s="11" t="str">
        <f>IF(AND(ROW()-1&lt;=教室申込!$K$5,教室申込!$K$7=0,COUNTA(教室申込!$C$4)=1),INDEX(展開用!$C$2:$C$601,MATCH(ROW()-1,展開用!$E$2:$E$601,0)),"")</f>
        <v/>
      </c>
      <c r="I451" s="11" t="str">
        <f>IF(AND(ROW()-1&lt;=教室申込!$K$5,教室申込!$K$7=0,COUNTA(教室申込!$C$4)=1),INDEX(展開用!$D$2:$D$601,MATCH(ROW()-1,展開用!$E$2:$E$601,0)),"")</f>
        <v/>
      </c>
      <c r="J451" s="11"/>
      <c r="K451" s="11"/>
      <c r="L451" s="11" t="str">
        <f>IF(AND(ROW()-1&lt;=教室申込!$K$5,教室申込!$K$7=0,COUNTA(教室申込!$C$4)=1),INDEX(教室申込!$B$1:$B$212,$AW451),"")</f>
        <v/>
      </c>
      <c r="M451" s="11" t="str">
        <f>IF(AND(ROW()-1&lt;=教室申込!$K$5,教室申込!$K$7=0,COUNTA(教室申込!$C$4)=1),INDEX(教室申込!$C$1:$C$212,$AW451),"")</f>
        <v/>
      </c>
      <c r="N451" s="11"/>
      <c r="O451" s="12" t="str">
        <f>IF(AND(ROW()-1&lt;=教室申込!$K$5,教室申込!$K$7=0,COUNTA(教室申込!$C$4)=1),INDEX(展開用!$G$2:$G$601,MATCH(ROW()-1,展開用!$E$2:$E$601,0)),"")</f>
        <v/>
      </c>
      <c r="P451" s="11"/>
      <c r="Q451" s="11"/>
      <c r="R451" s="11"/>
      <c r="S451" s="11"/>
      <c r="T451" s="11"/>
      <c r="U451" s="11" t="str">
        <f>IF(AND(ROW()-1&lt;=教室申込!$K$5,教室申込!$K$7=0,COUNTA(教室申込!$C$4)=1),INDEX(展開用!$F$2:$F$601,MATCH(ROW()-1,展開用!$E$2:$E$601,0)),"")</f>
        <v/>
      </c>
      <c r="V451" s="11"/>
      <c r="W451" s="11"/>
      <c r="X451" s="11"/>
      <c r="Y451" s="11"/>
      <c r="Z451" s="11"/>
      <c r="AA451" s="11" t="str">
        <f>IF($AW451="","",IF(INDEX(教室申込!$J$1:$J$212,$AW451)="","",INDEX(教室申込!$J$1:$J$212,$AW451)))</f>
        <v/>
      </c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" t="str">
        <f>IF(AND(ROW()-1&lt;=教室申込!$K$5,教室申込!$K$7=0,COUNTA(教室申込!$C$4)=1),INDEX(展開用!$B$2:$B$601,MATCH(ROW()-1,展開用!$E$2:$E$601,0)),"")</f>
        <v/>
      </c>
      <c r="AX451" s="1"/>
      <c r="AY451" s="1"/>
    </row>
    <row r="452" spans="1:51" ht="24" customHeight="1">
      <c r="A452" s="11"/>
      <c r="B452" s="11"/>
      <c r="C452" s="11"/>
      <c r="D452" s="11"/>
      <c r="E452" s="11"/>
      <c r="F452" s="11"/>
      <c r="G452" s="11"/>
      <c r="H452" s="11" t="str">
        <f>IF(AND(ROW()-1&lt;=教室申込!$K$5,教室申込!$K$7=0,COUNTA(教室申込!$C$4)=1),INDEX(展開用!$C$2:$C$601,MATCH(ROW()-1,展開用!$E$2:$E$601,0)),"")</f>
        <v/>
      </c>
      <c r="I452" s="11" t="str">
        <f>IF(AND(ROW()-1&lt;=教室申込!$K$5,教室申込!$K$7=0,COUNTA(教室申込!$C$4)=1),INDEX(展開用!$D$2:$D$601,MATCH(ROW()-1,展開用!$E$2:$E$601,0)),"")</f>
        <v/>
      </c>
      <c r="J452" s="11"/>
      <c r="K452" s="11"/>
      <c r="L452" s="11" t="str">
        <f>IF(AND(ROW()-1&lt;=教室申込!$K$5,教室申込!$K$7=0,COUNTA(教室申込!$C$4)=1),INDEX(教室申込!$B$1:$B$212,$AW452),"")</f>
        <v/>
      </c>
      <c r="M452" s="11" t="str">
        <f>IF(AND(ROW()-1&lt;=教室申込!$K$5,教室申込!$K$7=0,COUNTA(教室申込!$C$4)=1),INDEX(教室申込!$C$1:$C$212,$AW452),"")</f>
        <v/>
      </c>
      <c r="N452" s="11"/>
      <c r="O452" s="12" t="str">
        <f>IF(AND(ROW()-1&lt;=教室申込!$K$5,教室申込!$K$7=0,COUNTA(教室申込!$C$4)=1),INDEX(展開用!$G$2:$G$601,MATCH(ROW()-1,展開用!$E$2:$E$601,0)),"")</f>
        <v/>
      </c>
      <c r="P452" s="11"/>
      <c r="Q452" s="11"/>
      <c r="R452" s="11"/>
      <c r="S452" s="11"/>
      <c r="T452" s="11"/>
      <c r="U452" s="11" t="str">
        <f>IF(AND(ROW()-1&lt;=教室申込!$K$5,教室申込!$K$7=0,COUNTA(教室申込!$C$4)=1),INDEX(展開用!$F$2:$F$601,MATCH(ROW()-1,展開用!$E$2:$E$601,0)),"")</f>
        <v/>
      </c>
      <c r="V452" s="11"/>
      <c r="W452" s="11"/>
      <c r="X452" s="11"/>
      <c r="Y452" s="11"/>
      <c r="Z452" s="11"/>
      <c r="AA452" s="11" t="str">
        <f>IF($AW452="","",IF(INDEX(教室申込!$J$1:$J$212,$AW452)="","",INDEX(教室申込!$J$1:$J$212,$AW452)))</f>
        <v/>
      </c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" t="str">
        <f>IF(AND(ROW()-1&lt;=教室申込!$K$5,教室申込!$K$7=0,COUNTA(教室申込!$C$4)=1),INDEX(展開用!$B$2:$B$601,MATCH(ROW()-1,展開用!$E$2:$E$601,0)),"")</f>
        <v/>
      </c>
      <c r="AX452" s="1"/>
      <c r="AY452" s="1"/>
    </row>
    <row r="453" spans="1:51" ht="24" customHeight="1">
      <c r="A453" s="11"/>
      <c r="B453" s="11"/>
      <c r="C453" s="11"/>
      <c r="D453" s="11"/>
      <c r="E453" s="11"/>
      <c r="F453" s="11"/>
      <c r="G453" s="11"/>
      <c r="H453" s="11" t="str">
        <f>IF(AND(ROW()-1&lt;=教室申込!$K$5,教室申込!$K$7=0,COUNTA(教室申込!$C$4)=1),INDEX(展開用!$C$2:$C$601,MATCH(ROW()-1,展開用!$E$2:$E$601,0)),"")</f>
        <v/>
      </c>
      <c r="I453" s="11" t="str">
        <f>IF(AND(ROW()-1&lt;=教室申込!$K$5,教室申込!$K$7=0,COUNTA(教室申込!$C$4)=1),INDEX(展開用!$D$2:$D$601,MATCH(ROW()-1,展開用!$E$2:$E$601,0)),"")</f>
        <v/>
      </c>
      <c r="J453" s="11"/>
      <c r="K453" s="11"/>
      <c r="L453" s="11" t="str">
        <f>IF(AND(ROW()-1&lt;=教室申込!$K$5,教室申込!$K$7=0,COUNTA(教室申込!$C$4)=1),INDEX(教室申込!$B$1:$B$212,$AW453),"")</f>
        <v/>
      </c>
      <c r="M453" s="11" t="str">
        <f>IF(AND(ROW()-1&lt;=教室申込!$K$5,教室申込!$K$7=0,COUNTA(教室申込!$C$4)=1),INDEX(教室申込!$C$1:$C$212,$AW453),"")</f>
        <v/>
      </c>
      <c r="N453" s="11"/>
      <c r="O453" s="12" t="str">
        <f>IF(AND(ROW()-1&lt;=教室申込!$K$5,教室申込!$K$7=0,COUNTA(教室申込!$C$4)=1),INDEX(展開用!$G$2:$G$601,MATCH(ROW()-1,展開用!$E$2:$E$601,0)),"")</f>
        <v/>
      </c>
      <c r="P453" s="11"/>
      <c r="Q453" s="11"/>
      <c r="R453" s="11"/>
      <c r="S453" s="11"/>
      <c r="T453" s="11"/>
      <c r="U453" s="11" t="str">
        <f>IF(AND(ROW()-1&lt;=教室申込!$K$5,教室申込!$K$7=0,COUNTA(教室申込!$C$4)=1),INDEX(展開用!$F$2:$F$601,MATCH(ROW()-1,展開用!$E$2:$E$601,0)),"")</f>
        <v/>
      </c>
      <c r="V453" s="11"/>
      <c r="W453" s="11"/>
      <c r="X453" s="11"/>
      <c r="Y453" s="11"/>
      <c r="Z453" s="11"/>
      <c r="AA453" s="11" t="str">
        <f>IF($AW453="","",IF(INDEX(教室申込!$J$1:$J$212,$AW453)="","",INDEX(教室申込!$J$1:$J$212,$AW453)))</f>
        <v/>
      </c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" t="str">
        <f>IF(AND(ROW()-1&lt;=教室申込!$K$5,教室申込!$K$7=0,COUNTA(教室申込!$C$4)=1),INDEX(展開用!$B$2:$B$601,MATCH(ROW()-1,展開用!$E$2:$E$601,0)),"")</f>
        <v/>
      </c>
      <c r="AX453" s="1"/>
      <c r="AY453" s="1"/>
    </row>
    <row r="454" spans="1:51" ht="24" customHeight="1">
      <c r="A454" s="11"/>
      <c r="B454" s="11"/>
      <c r="C454" s="11"/>
      <c r="D454" s="11"/>
      <c r="E454" s="11"/>
      <c r="F454" s="11"/>
      <c r="G454" s="11"/>
      <c r="H454" s="11" t="str">
        <f>IF(AND(ROW()-1&lt;=教室申込!$K$5,教室申込!$K$7=0,COUNTA(教室申込!$C$4)=1),INDEX(展開用!$C$2:$C$601,MATCH(ROW()-1,展開用!$E$2:$E$601,0)),"")</f>
        <v/>
      </c>
      <c r="I454" s="11" t="str">
        <f>IF(AND(ROW()-1&lt;=教室申込!$K$5,教室申込!$K$7=0,COUNTA(教室申込!$C$4)=1),INDEX(展開用!$D$2:$D$601,MATCH(ROW()-1,展開用!$E$2:$E$601,0)),"")</f>
        <v/>
      </c>
      <c r="J454" s="11"/>
      <c r="K454" s="11"/>
      <c r="L454" s="11" t="str">
        <f>IF(AND(ROW()-1&lt;=教室申込!$K$5,教室申込!$K$7=0,COUNTA(教室申込!$C$4)=1),INDEX(教室申込!$B$1:$B$212,$AW454),"")</f>
        <v/>
      </c>
      <c r="M454" s="11" t="str">
        <f>IF(AND(ROW()-1&lt;=教室申込!$K$5,教室申込!$K$7=0,COUNTA(教室申込!$C$4)=1),INDEX(教室申込!$C$1:$C$212,$AW454),"")</f>
        <v/>
      </c>
      <c r="N454" s="11"/>
      <c r="O454" s="12" t="str">
        <f>IF(AND(ROW()-1&lt;=教室申込!$K$5,教室申込!$K$7=0,COUNTA(教室申込!$C$4)=1),INDEX(展開用!$G$2:$G$601,MATCH(ROW()-1,展開用!$E$2:$E$601,0)),"")</f>
        <v/>
      </c>
      <c r="P454" s="11"/>
      <c r="Q454" s="11"/>
      <c r="R454" s="11"/>
      <c r="S454" s="11"/>
      <c r="T454" s="11"/>
      <c r="U454" s="11" t="str">
        <f>IF(AND(ROW()-1&lt;=教室申込!$K$5,教室申込!$K$7=0,COUNTA(教室申込!$C$4)=1),INDEX(展開用!$F$2:$F$601,MATCH(ROW()-1,展開用!$E$2:$E$601,0)),"")</f>
        <v/>
      </c>
      <c r="V454" s="11"/>
      <c r="W454" s="11"/>
      <c r="X454" s="11"/>
      <c r="Y454" s="11"/>
      <c r="Z454" s="11"/>
      <c r="AA454" s="11" t="str">
        <f>IF($AW454="","",IF(INDEX(教室申込!$J$1:$J$212,$AW454)="","",INDEX(教室申込!$J$1:$J$212,$AW454)))</f>
        <v/>
      </c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" t="str">
        <f>IF(AND(ROW()-1&lt;=教室申込!$K$5,教室申込!$K$7=0,COUNTA(教室申込!$C$4)=1),INDEX(展開用!$B$2:$B$601,MATCH(ROW()-1,展開用!$E$2:$E$601,0)),"")</f>
        <v/>
      </c>
      <c r="AX454" s="1"/>
      <c r="AY454" s="1"/>
    </row>
    <row r="455" spans="1:51" ht="24" customHeight="1">
      <c r="A455" s="11"/>
      <c r="B455" s="11"/>
      <c r="C455" s="11"/>
      <c r="D455" s="11"/>
      <c r="E455" s="11"/>
      <c r="F455" s="11"/>
      <c r="G455" s="11"/>
      <c r="H455" s="11" t="str">
        <f>IF(AND(ROW()-1&lt;=教室申込!$K$5,教室申込!$K$7=0,COUNTA(教室申込!$C$4)=1),INDEX(展開用!$C$2:$C$601,MATCH(ROW()-1,展開用!$E$2:$E$601,0)),"")</f>
        <v/>
      </c>
      <c r="I455" s="11" t="str">
        <f>IF(AND(ROW()-1&lt;=教室申込!$K$5,教室申込!$K$7=0,COUNTA(教室申込!$C$4)=1),INDEX(展開用!$D$2:$D$601,MATCH(ROW()-1,展開用!$E$2:$E$601,0)),"")</f>
        <v/>
      </c>
      <c r="J455" s="11"/>
      <c r="K455" s="11"/>
      <c r="L455" s="11" t="str">
        <f>IF(AND(ROW()-1&lt;=教室申込!$K$5,教室申込!$K$7=0,COUNTA(教室申込!$C$4)=1),INDEX(教室申込!$B$1:$B$212,$AW455),"")</f>
        <v/>
      </c>
      <c r="M455" s="11" t="str">
        <f>IF(AND(ROW()-1&lt;=教室申込!$K$5,教室申込!$K$7=0,COUNTA(教室申込!$C$4)=1),INDEX(教室申込!$C$1:$C$212,$AW455),"")</f>
        <v/>
      </c>
      <c r="N455" s="11"/>
      <c r="O455" s="12" t="str">
        <f>IF(AND(ROW()-1&lt;=教室申込!$K$5,教室申込!$K$7=0,COUNTA(教室申込!$C$4)=1),INDEX(展開用!$G$2:$G$601,MATCH(ROW()-1,展開用!$E$2:$E$601,0)),"")</f>
        <v/>
      </c>
      <c r="P455" s="11"/>
      <c r="Q455" s="11"/>
      <c r="R455" s="11"/>
      <c r="S455" s="11"/>
      <c r="T455" s="11"/>
      <c r="U455" s="11" t="str">
        <f>IF(AND(ROW()-1&lt;=教室申込!$K$5,教室申込!$K$7=0,COUNTA(教室申込!$C$4)=1),INDEX(展開用!$F$2:$F$601,MATCH(ROW()-1,展開用!$E$2:$E$601,0)),"")</f>
        <v/>
      </c>
      <c r="V455" s="11"/>
      <c r="W455" s="11"/>
      <c r="X455" s="11"/>
      <c r="Y455" s="11"/>
      <c r="Z455" s="11"/>
      <c r="AA455" s="11" t="str">
        <f>IF($AW455="","",IF(INDEX(教室申込!$J$1:$J$212,$AW455)="","",INDEX(教室申込!$J$1:$J$212,$AW455)))</f>
        <v/>
      </c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" t="str">
        <f>IF(AND(ROW()-1&lt;=教室申込!$K$5,教室申込!$K$7=0,COUNTA(教室申込!$C$4)=1),INDEX(展開用!$B$2:$B$601,MATCH(ROW()-1,展開用!$E$2:$E$601,0)),"")</f>
        <v/>
      </c>
      <c r="AX455" s="1"/>
      <c r="AY455" s="1"/>
    </row>
    <row r="456" spans="1:51" ht="24" customHeight="1">
      <c r="A456" s="11"/>
      <c r="B456" s="11"/>
      <c r="C456" s="11"/>
      <c r="D456" s="11"/>
      <c r="E456" s="11"/>
      <c r="F456" s="11"/>
      <c r="G456" s="11"/>
      <c r="H456" s="11" t="str">
        <f>IF(AND(ROW()-1&lt;=教室申込!$K$5,教室申込!$K$7=0,COUNTA(教室申込!$C$4)=1),INDEX(展開用!$C$2:$C$601,MATCH(ROW()-1,展開用!$E$2:$E$601,0)),"")</f>
        <v/>
      </c>
      <c r="I456" s="11" t="str">
        <f>IF(AND(ROW()-1&lt;=教室申込!$K$5,教室申込!$K$7=0,COUNTA(教室申込!$C$4)=1),INDEX(展開用!$D$2:$D$601,MATCH(ROW()-1,展開用!$E$2:$E$601,0)),"")</f>
        <v/>
      </c>
      <c r="J456" s="11"/>
      <c r="K456" s="11"/>
      <c r="L456" s="11" t="str">
        <f>IF(AND(ROW()-1&lt;=教室申込!$K$5,教室申込!$K$7=0,COUNTA(教室申込!$C$4)=1),INDEX(教室申込!$B$1:$B$212,$AW456),"")</f>
        <v/>
      </c>
      <c r="M456" s="11" t="str">
        <f>IF(AND(ROW()-1&lt;=教室申込!$K$5,教室申込!$K$7=0,COUNTA(教室申込!$C$4)=1),INDEX(教室申込!$C$1:$C$212,$AW456),"")</f>
        <v/>
      </c>
      <c r="N456" s="11"/>
      <c r="O456" s="12" t="str">
        <f>IF(AND(ROW()-1&lt;=教室申込!$K$5,教室申込!$K$7=0,COUNTA(教室申込!$C$4)=1),INDEX(展開用!$G$2:$G$601,MATCH(ROW()-1,展開用!$E$2:$E$601,0)),"")</f>
        <v/>
      </c>
      <c r="P456" s="11"/>
      <c r="Q456" s="11"/>
      <c r="R456" s="11"/>
      <c r="S456" s="11"/>
      <c r="T456" s="11"/>
      <c r="U456" s="11" t="str">
        <f>IF(AND(ROW()-1&lt;=教室申込!$K$5,教室申込!$K$7=0,COUNTA(教室申込!$C$4)=1),INDEX(展開用!$F$2:$F$601,MATCH(ROW()-1,展開用!$E$2:$E$601,0)),"")</f>
        <v/>
      </c>
      <c r="V456" s="11"/>
      <c r="W456" s="11"/>
      <c r="X456" s="11"/>
      <c r="Y456" s="11"/>
      <c r="Z456" s="11"/>
      <c r="AA456" s="11" t="str">
        <f>IF($AW456="","",IF(INDEX(教室申込!$J$1:$J$212,$AW456)="","",INDEX(教室申込!$J$1:$J$212,$AW456)))</f>
        <v/>
      </c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" t="str">
        <f>IF(AND(ROW()-1&lt;=教室申込!$K$5,教室申込!$K$7=0,COUNTA(教室申込!$C$4)=1),INDEX(展開用!$B$2:$B$601,MATCH(ROW()-1,展開用!$E$2:$E$601,0)),"")</f>
        <v/>
      </c>
      <c r="AX456" s="1"/>
      <c r="AY456" s="1"/>
    </row>
    <row r="457" spans="1:51" ht="24" customHeight="1">
      <c r="A457" s="11"/>
      <c r="B457" s="11"/>
      <c r="C457" s="11"/>
      <c r="D457" s="11"/>
      <c r="E457" s="11"/>
      <c r="F457" s="11"/>
      <c r="G457" s="11"/>
      <c r="H457" s="11" t="str">
        <f>IF(AND(ROW()-1&lt;=教室申込!$K$5,教室申込!$K$7=0,COUNTA(教室申込!$C$4)=1),INDEX(展開用!$C$2:$C$601,MATCH(ROW()-1,展開用!$E$2:$E$601,0)),"")</f>
        <v/>
      </c>
      <c r="I457" s="11" t="str">
        <f>IF(AND(ROW()-1&lt;=教室申込!$K$5,教室申込!$K$7=0,COUNTA(教室申込!$C$4)=1),INDEX(展開用!$D$2:$D$601,MATCH(ROW()-1,展開用!$E$2:$E$601,0)),"")</f>
        <v/>
      </c>
      <c r="J457" s="11"/>
      <c r="K457" s="11"/>
      <c r="L457" s="11" t="str">
        <f>IF(AND(ROW()-1&lt;=教室申込!$K$5,教室申込!$K$7=0,COUNTA(教室申込!$C$4)=1),INDEX(教室申込!$B$1:$B$212,$AW457),"")</f>
        <v/>
      </c>
      <c r="M457" s="11" t="str">
        <f>IF(AND(ROW()-1&lt;=教室申込!$K$5,教室申込!$K$7=0,COUNTA(教室申込!$C$4)=1),INDEX(教室申込!$C$1:$C$212,$AW457),"")</f>
        <v/>
      </c>
      <c r="N457" s="11"/>
      <c r="O457" s="12" t="str">
        <f>IF(AND(ROW()-1&lt;=教室申込!$K$5,教室申込!$K$7=0,COUNTA(教室申込!$C$4)=1),INDEX(展開用!$G$2:$G$601,MATCH(ROW()-1,展開用!$E$2:$E$601,0)),"")</f>
        <v/>
      </c>
      <c r="P457" s="11"/>
      <c r="Q457" s="11"/>
      <c r="R457" s="11"/>
      <c r="S457" s="11"/>
      <c r="T457" s="11"/>
      <c r="U457" s="11" t="str">
        <f>IF(AND(ROW()-1&lt;=教室申込!$K$5,教室申込!$K$7=0,COUNTA(教室申込!$C$4)=1),INDEX(展開用!$F$2:$F$601,MATCH(ROW()-1,展開用!$E$2:$E$601,0)),"")</f>
        <v/>
      </c>
      <c r="V457" s="11"/>
      <c r="W457" s="11"/>
      <c r="X457" s="11"/>
      <c r="Y457" s="11"/>
      <c r="Z457" s="11"/>
      <c r="AA457" s="11" t="str">
        <f>IF($AW457="","",IF(INDEX(教室申込!$J$1:$J$212,$AW457)="","",INDEX(教室申込!$J$1:$J$212,$AW457)))</f>
        <v/>
      </c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" t="str">
        <f>IF(AND(ROW()-1&lt;=教室申込!$K$5,教室申込!$K$7=0,COUNTA(教室申込!$C$4)=1),INDEX(展開用!$B$2:$B$601,MATCH(ROW()-1,展開用!$E$2:$E$601,0)),"")</f>
        <v/>
      </c>
      <c r="AX457" s="1"/>
      <c r="AY457" s="1"/>
    </row>
    <row r="458" spans="1:51" ht="24" customHeight="1">
      <c r="A458" s="11"/>
      <c r="B458" s="11"/>
      <c r="C458" s="11"/>
      <c r="D458" s="11"/>
      <c r="E458" s="11"/>
      <c r="F458" s="11"/>
      <c r="G458" s="11"/>
      <c r="H458" s="11" t="str">
        <f>IF(AND(ROW()-1&lt;=教室申込!$K$5,教室申込!$K$7=0,COUNTA(教室申込!$C$4)=1),INDEX(展開用!$C$2:$C$601,MATCH(ROW()-1,展開用!$E$2:$E$601,0)),"")</f>
        <v/>
      </c>
      <c r="I458" s="11" t="str">
        <f>IF(AND(ROW()-1&lt;=教室申込!$K$5,教室申込!$K$7=0,COUNTA(教室申込!$C$4)=1),INDEX(展開用!$D$2:$D$601,MATCH(ROW()-1,展開用!$E$2:$E$601,0)),"")</f>
        <v/>
      </c>
      <c r="J458" s="11"/>
      <c r="K458" s="11"/>
      <c r="L458" s="11" t="str">
        <f>IF(AND(ROW()-1&lt;=教室申込!$K$5,教室申込!$K$7=0,COUNTA(教室申込!$C$4)=1),INDEX(教室申込!$B$1:$B$212,$AW458),"")</f>
        <v/>
      </c>
      <c r="M458" s="11" t="str">
        <f>IF(AND(ROW()-1&lt;=教室申込!$K$5,教室申込!$K$7=0,COUNTA(教室申込!$C$4)=1),INDEX(教室申込!$C$1:$C$212,$AW458),"")</f>
        <v/>
      </c>
      <c r="N458" s="11"/>
      <c r="O458" s="12" t="str">
        <f>IF(AND(ROW()-1&lt;=教室申込!$K$5,教室申込!$K$7=0,COUNTA(教室申込!$C$4)=1),INDEX(展開用!$G$2:$G$601,MATCH(ROW()-1,展開用!$E$2:$E$601,0)),"")</f>
        <v/>
      </c>
      <c r="P458" s="11"/>
      <c r="Q458" s="11"/>
      <c r="R458" s="11"/>
      <c r="S458" s="11"/>
      <c r="T458" s="11"/>
      <c r="U458" s="11" t="str">
        <f>IF(AND(ROW()-1&lt;=教室申込!$K$5,教室申込!$K$7=0,COUNTA(教室申込!$C$4)=1),INDEX(展開用!$F$2:$F$601,MATCH(ROW()-1,展開用!$E$2:$E$601,0)),"")</f>
        <v/>
      </c>
      <c r="V458" s="11"/>
      <c r="W458" s="11"/>
      <c r="X458" s="11"/>
      <c r="Y458" s="11"/>
      <c r="Z458" s="11"/>
      <c r="AA458" s="11" t="str">
        <f>IF($AW458="","",IF(INDEX(教室申込!$J$1:$J$212,$AW458)="","",INDEX(教室申込!$J$1:$J$212,$AW458)))</f>
        <v/>
      </c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" t="str">
        <f>IF(AND(ROW()-1&lt;=教室申込!$K$5,教室申込!$K$7=0,COUNTA(教室申込!$C$4)=1),INDEX(展開用!$B$2:$B$601,MATCH(ROW()-1,展開用!$E$2:$E$601,0)),"")</f>
        <v/>
      </c>
      <c r="AX458" s="1"/>
      <c r="AY458" s="1"/>
    </row>
    <row r="459" spans="1:51" ht="24" customHeight="1">
      <c r="A459" s="11"/>
      <c r="B459" s="11"/>
      <c r="C459" s="11"/>
      <c r="D459" s="11"/>
      <c r="E459" s="11"/>
      <c r="F459" s="11"/>
      <c r="G459" s="11"/>
      <c r="H459" s="11" t="str">
        <f>IF(AND(ROW()-1&lt;=教室申込!$K$5,教室申込!$K$7=0,COUNTA(教室申込!$C$4)=1),INDEX(展開用!$C$2:$C$601,MATCH(ROW()-1,展開用!$E$2:$E$601,0)),"")</f>
        <v/>
      </c>
      <c r="I459" s="11" t="str">
        <f>IF(AND(ROW()-1&lt;=教室申込!$K$5,教室申込!$K$7=0,COUNTA(教室申込!$C$4)=1),INDEX(展開用!$D$2:$D$601,MATCH(ROW()-1,展開用!$E$2:$E$601,0)),"")</f>
        <v/>
      </c>
      <c r="J459" s="11"/>
      <c r="K459" s="11"/>
      <c r="L459" s="11" t="str">
        <f>IF(AND(ROW()-1&lt;=教室申込!$K$5,教室申込!$K$7=0,COUNTA(教室申込!$C$4)=1),INDEX(教室申込!$B$1:$B$212,$AW459),"")</f>
        <v/>
      </c>
      <c r="M459" s="11" t="str">
        <f>IF(AND(ROW()-1&lt;=教室申込!$K$5,教室申込!$K$7=0,COUNTA(教室申込!$C$4)=1),INDEX(教室申込!$C$1:$C$212,$AW459),"")</f>
        <v/>
      </c>
      <c r="N459" s="11"/>
      <c r="O459" s="12" t="str">
        <f>IF(AND(ROW()-1&lt;=教室申込!$K$5,教室申込!$K$7=0,COUNTA(教室申込!$C$4)=1),INDEX(展開用!$G$2:$G$601,MATCH(ROW()-1,展開用!$E$2:$E$601,0)),"")</f>
        <v/>
      </c>
      <c r="P459" s="11"/>
      <c r="Q459" s="11"/>
      <c r="R459" s="11"/>
      <c r="S459" s="11"/>
      <c r="T459" s="11"/>
      <c r="U459" s="11" t="str">
        <f>IF(AND(ROW()-1&lt;=教室申込!$K$5,教室申込!$K$7=0,COUNTA(教室申込!$C$4)=1),INDEX(展開用!$F$2:$F$601,MATCH(ROW()-1,展開用!$E$2:$E$601,0)),"")</f>
        <v/>
      </c>
      <c r="V459" s="11"/>
      <c r="W459" s="11"/>
      <c r="X459" s="11"/>
      <c r="Y459" s="11"/>
      <c r="Z459" s="11"/>
      <c r="AA459" s="11" t="str">
        <f>IF($AW459="","",IF(INDEX(教室申込!$J$1:$J$212,$AW459)="","",INDEX(教室申込!$J$1:$J$212,$AW459)))</f>
        <v/>
      </c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" t="str">
        <f>IF(AND(ROW()-1&lt;=教室申込!$K$5,教室申込!$K$7=0,COUNTA(教室申込!$C$4)=1),INDEX(展開用!$B$2:$B$601,MATCH(ROW()-1,展開用!$E$2:$E$601,0)),"")</f>
        <v/>
      </c>
      <c r="AX459" s="1"/>
      <c r="AY459" s="1"/>
    </row>
    <row r="460" spans="1:51" ht="24" customHeight="1">
      <c r="A460" s="11"/>
      <c r="B460" s="11"/>
      <c r="C460" s="11"/>
      <c r="D460" s="11"/>
      <c r="E460" s="11"/>
      <c r="F460" s="11"/>
      <c r="G460" s="11"/>
      <c r="H460" s="11" t="str">
        <f>IF(AND(ROW()-1&lt;=教室申込!$K$5,教室申込!$K$7=0,COUNTA(教室申込!$C$4)=1),INDEX(展開用!$C$2:$C$601,MATCH(ROW()-1,展開用!$E$2:$E$601,0)),"")</f>
        <v/>
      </c>
      <c r="I460" s="11" t="str">
        <f>IF(AND(ROW()-1&lt;=教室申込!$K$5,教室申込!$K$7=0,COUNTA(教室申込!$C$4)=1),INDEX(展開用!$D$2:$D$601,MATCH(ROW()-1,展開用!$E$2:$E$601,0)),"")</f>
        <v/>
      </c>
      <c r="J460" s="11"/>
      <c r="K460" s="11"/>
      <c r="L460" s="11" t="str">
        <f>IF(AND(ROW()-1&lt;=教室申込!$K$5,教室申込!$K$7=0,COUNTA(教室申込!$C$4)=1),INDEX(教室申込!$B$1:$B$212,$AW460),"")</f>
        <v/>
      </c>
      <c r="M460" s="11" t="str">
        <f>IF(AND(ROW()-1&lt;=教室申込!$K$5,教室申込!$K$7=0,COUNTA(教室申込!$C$4)=1),INDEX(教室申込!$C$1:$C$212,$AW460),"")</f>
        <v/>
      </c>
      <c r="N460" s="11"/>
      <c r="O460" s="12" t="str">
        <f>IF(AND(ROW()-1&lt;=教室申込!$K$5,教室申込!$K$7=0,COUNTA(教室申込!$C$4)=1),INDEX(展開用!$G$2:$G$601,MATCH(ROW()-1,展開用!$E$2:$E$601,0)),"")</f>
        <v/>
      </c>
      <c r="P460" s="11"/>
      <c r="Q460" s="11"/>
      <c r="R460" s="11"/>
      <c r="S460" s="11"/>
      <c r="T460" s="11"/>
      <c r="U460" s="11" t="str">
        <f>IF(AND(ROW()-1&lt;=教室申込!$K$5,教室申込!$K$7=0,COUNTA(教室申込!$C$4)=1),INDEX(展開用!$F$2:$F$601,MATCH(ROW()-1,展開用!$E$2:$E$601,0)),"")</f>
        <v/>
      </c>
      <c r="V460" s="11"/>
      <c r="W460" s="11"/>
      <c r="X460" s="11"/>
      <c r="Y460" s="11"/>
      <c r="Z460" s="11"/>
      <c r="AA460" s="11" t="str">
        <f>IF($AW460="","",IF(INDEX(教室申込!$J$1:$J$212,$AW460)="","",INDEX(教室申込!$J$1:$J$212,$AW460)))</f>
        <v/>
      </c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" t="str">
        <f>IF(AND(ROW()-1&lt;=教室申込!$K$5,教室申込!$K$7=0,COUNTA(教室申込!$C$4)=1),INDEX(展開用!$B$2:$B$601,MATCH(ROW()-1,展開用!$E$2:$E$601,0)),"")</f>
        <v/>
      </c>
      <c r="AX460" s="1"/>
      <c r="AY460" s="1"/>
    </row>
    <row r="461" spans="1:51" ht="24" customHeight="1">
      <c r="A461" s="11"/>
      <c r="B461" s="11"/>
      <c r="C461" s="11"/>
      <c r="D461" s="11"/>
      <c r="E461" s="11"/>
      <c r="F461" s="11"/>
      <c r="G461" s="11"/>
      <c r="H461" s="11" t="str">
        <f>IF(AND(ROW()-1&lt;=教室申込!$K$5,教室申込!$K$7=0,COUNTA(教室申込!$C$4)=1),INDEX(展開用!$C$2:$C$601,MATCH(ROW()-1,展開用!$E$2:$E$601,0)),"")</f>
        <v/>
      </c>
      <c r="I461" s="11" t="str">
        <f>IF(AND(ROW()-1&lt;=教室申込!$K$5,教室申込!$K$7=0,COUNTA(教室申込!$C$4)=1),INDEX(展開用!$D$2:$D$601,MATCH(ROW()-1,展開用!$E$2:$E$601,0)),"")</f>
        <v/>
      </c>
      <c r="J461" s="11"/>
      <c r="K461" s="11"/>
      <c r="L461" s="11" t="str">
        <f>IF(AND(ROW()-1&lt;=教室申込!$K$5,教室申込!$K$7=0,COUNTA(教室申込!$C$4)=1),INDEX(教室申込!$B$1:$B$212,$AW461),"")</f>
        <v/>
      </c>
      <c r="M461" s="11" t="str">
        <f>IF(AND(ROW()-1&lt;=教室申込!$K$5,教室申込!$K$7=0,COUNTA(教室申込!$C$4)=1),INDEX(教室申込!$C$1:$C$212,$AW461),"")</f>
        <v/>
      </c>
      <c r="N461" s="11"/>
      <c r="O461" s="12" t="str">
        <f>IF(AND(ROW()-1&lt;=教室申込!$K$5,教室申込!$K$7=0,COUNTA(教室申込!$C$4)=1),INDEX(展開用!$G$2:$G$601,MATCH(ROW()-1,展開用!$E$2:$E$601,0)),"")</f>
        <v/>
      </c>
      <c r="P461" s="11"/>
      <c r="Q461" s="11"/>
      <c r="R461" s="11"/>
      <c r="S461" s="11"/>
      <c r="T461" s="11"/>
      <c r="U461" s="11" t="str">
        <f>IF(AND(ROW()-1&lt;=教室申込!$K$5,教室申込!$K$7=0,COUNTA(教室申込!$C$4)=1),INDEX(展開用!$F$2:$F$601,MATCH(ROW()-1,展開用!$E$2:$E$601,0)),"")</f>
        <v/>
      </c>
      <c r="V461" s="11"/>
      <c r="W461" s="11"/>
      <c r="X461" s="11"/>
      <c r="Y461" s="11"/>
      <c r="Z461" s="11"/>
      <c r="AA461" s="11" t="str">
        <f>IF($AW461="","",IF(INDEX(教室申込!$J$1:$J$212,$AW461)="","",INDEX(教室申込!$J$1:$J$212,$AW461)))</f>
        <v/>
      </c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" t="str">
        <f>IF(AND(ROW()-1&lt;=教室申込!$K$5,教室申込!$K$7=0,COUNTA(教室申込!$C$4)=1),INDEX(展開用!$B$2:$B$601,MATCH(ROW()-1,展開用!$E$2:$E$601,0)),"")</f>
        <v/>
      </c>
      <c r="AX461" s="1"/>
      <c r="AY461" s="1"/>
    </row>
    <row r="462" spans="1:51" ht="24" customHeight="1">
      <c r="A462" s="11"/>
      <c r="B462" s="11"/>
      <c r="C462" s="11"/>
      <c r="D462" s="11"/>
      <c r="E462" s="11"/>
      <c r="F462" s="11"/>
      <c r="G462" s="11"/>
      <c r="H462" s="11" t="str">
        <f>IF(AND(ROW()-1&lt;=教室申込!$K$5,教室申込!$K$7=0,COUNTA(教室申込!$C$4)=1),INDEX(展開用!$C$2:$C$601,MATCH(ROW()-1,展開用!$E$2:$E$601,0)),"")</f>
        <v/>
      </c>
      <c r="I462" s="11" t="str">
        <f>IF(AND(ROW()-1&lt;=教室申込!$K$5,教室申込!$K$7=0,COUNTA(教室申込!$C$4)=1),INDEX(展開用!$D$2:$D$601,MATCH(ROW()-1,展開用!$E$2:$E$601,0)),"")</f>
        <v/>
      </c>
      <c r="J462" s="11"/>
      <c r="K462" s="11"/>
      <c r="L462" s="11" t="str">
        <f>IF(AND(ROW()-1&lt;=教室申込!$K$5,教室申込!$K$7=0,COUNTA(教室申込!$C$4)=1),INDEX(教室申込!$B$1:$B$212,$AW462),"")</f>
        <v/>
      </c>
      <c r="M462" s="11" t="str">
        <f>IF(AND(ROW()-1&lt;=教室申込!$K$5,教室申込!$K$7=0,COUNTA(教室申込!$C$4)=1),INDEX(教室申込!$C$1:$C$212,$AW462),"")</f>
        <v/>
      </c>
      <c r="N462" s="11"/>
      <c r="O462" s="12" t="str">
        <f>IF(AND(ROW()-1&lt;=教室申込!$K$5,教室申込!$K$7=0,COUNTA(教室申込!$C$4)=1),INDEX(展開用!$G$2:$G$601,MATCH(ROW()-1,展開用!$E$2:$E$601,0)),"")</f>
        <v/>
      </c>
      <c r="P462" s="11"/>
      <c r="Q462" s="11"/>
      <c r="R462" s="11"/>
      <c r="S462" s="11"/>
      <c r="T462" s="11"/>
      <c r="U462" s="11" t="str">
        <f>IF(AND(ROW()-1&lt;=教室申込!$K$5,教室申込!$K$7=0,COUNTA(教室申込!$C$4)=1),INDEX(展開用!$F$2:$F$601,MATCH(ROW()-1,展開用!$E$2:$E$601,0)),"")</f>
        <v/>
      </c>
      <c r="V462" s="11"/>
      <c r="W462" s="11"/>
      <c r="X462" s="11"/>
      <c r="Y462" s="11"/>
      <c r="Z462" s="11"/>
      <c r="AA462" s="11" t="str">
        <f>IF($AW462="","",IF(INDEX(教室申込!$J$1:$J$212,$AW462)="","",INDEX(教室申込!$J$1:$J$212,$AW462)))</f>
        <v/>
      </c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" t="str">
        <f>IF(AND(ROW()-1&lt;=教室申込!$K$5,教室申込!$K$7=0,COUNTA(教室申込!$C$4)=1),INDEX(展開用!$B$2:$B$601,MATCH(ROW()-1,展開用!$E$2:$E$601,0)),"")</f>
        <v/>
      </c>
      <c r="AX462" s="1"/>
      <c r="AY462" s="1"/>
    </row>
    <row r="463" spans="1:51" ht="24" customHeight="1">
      <c r="A463" s="11"/>
      <c r="B463" s="11"/>
      <c r="C463" s="11"/>
      <c r="D463" s="11"/>
      <c r="E463" s="11"/>
      <c r="F463" s="11"/>
      <c r="G463" s="11"/>
      <c r="H463" s="11" t="str">
        <f>IF(AND(ROW()-1&lt;=教室申込!$K$5,教室申込!$K$7=0,COUNTA(教室申込!$C$4)=1),INDEX(展開用!$C$2:$C$601,MATCH(ROW()-1,展開用!$E$2:$E$601,0)),"")</f>
        <v/>
      </c>
      <c r="I463" s="11" t="str">
        <f>IF(AND(ROW()-1&lt;=教室申込!$K$5,教室申込!$K$7=0,COUNTA(教室申込!$C$4)=1),INDEX(展開用!$D$2:$D$601,MATCH(ROW()-1,展開用!$E$2:$E$601,0)),"")</f>
        <v/>
      </c>
      <c r="J463" s="11"/>
      <c r="K463" s="11"/>
      <c r="L463" s="11" t="str">
        <f>IF(AND(ROW()-1&lt;=教室申込!$K$5,教室申込!$K$7=0,COUNTA(教室申込!$C$4)=1),INDEX(教室申込!$B$1:$B$212,$AW463),"")</f>
        <v/>
      </c>
      <c r="M463" s="11" t="str">
        <f>IF(AND(ROW()-1&lt;=教室申込!$K$5,教室申込!$K$7=0,COUNTA(教室申込!$C$4)=1),INDEX(教室申込!$C$1:$C$212,$AW463),"")</f>
        <v/>
      </c>
      <c r="N463" s="11"/>
      <c r="O463" s="12" t="str">
        <f>IF(AND(ROW()-1&lt;=教室申込!$K$5,教室申込!$K$7=0,COUNTA(教室申込!$C$4)=1),INDEX(展開用!$G$2:$G$601,MATCH(ROW()-1,展開用!$E$2:$E$601,0)),"")</f>
        <v/>
      </c>
      <c r="P463" s="11"/>
      <c r="Q463" s="11"/>
      <c r="R463" s="11"/>
      <c r="S463" s="11"/>
      <c r="T463" s="11"/>
      <c r="U463" s="11" t="str">
        <f>IF(AND(ROW()-1&lt;=教室申込!$K$5,教室申込!$K$7=0,COUNTA(教室申込!$C$4)=1),INDEX(展開用!$F$2:$F$601,MATCH(ROW()-1,展開用!$E$2:$E$601,0)),"")</f>
        <v/>
      </c>
      <c r="V463" s="11"/>
      <c r="W463" s="11"/>
      <c r="X463" s="11"/>
      <c r="Y463" s="11"/>
      <c r="Z463" s="11"/>
      <c r="AA463" s="11" t="str">
        <f>IF($AW463="","",IF(INDEX(教室申込!$J$1:$J$212,$AW463)="","",INDEX(教室申込!$J$1:$J$212,$AW463)))</f>
        <v/>
      </c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" t="str">
        <f>IF(AND(ROW()-1&lt;=教室申込!$K$5,教室申込!$K$7=0,COUNTA(教室申込!$C$4)=1),INDEX(展開用!$B$2:$B$601,MATCH(ROW()-1,展開用!$E$2:$E$601,0)),"")</f>
        <v/>
      </c>
      <c r="AX463" s="1"/>
      <c r="AY463" s="1"/>
    </row>
    <row r="464" spans="1:51" ht="24" customHeight="1">
      <c r="A464" s="11"/>
      <c r="B464" s="11"/>
      <c r="C464" s="11"/>
      <c r="D464" s="11"/>
      <c r="E464" s="11"/>
      <c r="F464" s="11"/>
      <c r="G464" s="11"/>
      <c r="H464" s="11" t="str">
        <f>IF(AND(ROW()-1&lt;=教室申込!$K$5,教室申込!$K$7=0,COUNTA(教室申込!$C$4)=1),INDEX(展開用!$C$2:$C$601,MATCH(ROW()-1,展開用!$E$2:$E$601,0)),"")</f>
        <v/>
      </c>
      <c r="I464" s="11" t="str">
        <f>IF(AND(ROW()-1&lt;=教室申込!$K$5,教室申込!$K$7=0,COUNTA(教室申込!$C$4)=1),INDEX(展開用!$D$2:$D$601,MATCH(ROW()-1,展開用!$E$2:$E$601,0)),"")</f>
        <v/>
      </c>
      <c r="J464" s="11"/>
      <c r="K464" s="11"/>
      <c r="L464" s="11" t="str">
        <f>IF(AND(ROW()-1&lt;=教室申込!$K$5,教室申込!$K$7=0,COUNTA(教室申込!$C$4)=1),INDEX(教室申込!$B$1:$B$212,$AW464),"")</f>
        <v/>
      </c>
      <c r="M464" s="11" t="str">
        <f>IF(AND(ROW()-1&lt;=教室申込!$K$5,教室申込!$K$7=0,COUNTA(教室申込!$C$4)=1),INDEX(教室申込!$C$1:$C$212,$AW464),"")</f>
        <v/>
      </c>
      <c r="N464" s="11"/>
      <c r="O464" s="12" t="str">
        <f>IF(AND(ROW()-1&lt;=教室申込!$K$5,教室申込!$K$7=0,COUNTA(教室申込!$C$4)=1),INDEX(展開用!$G$2:$G$601,MATCH(ROW()-1,展開用!$E$2:$E$601,0)),"")</f>
        <v/>
      </c>
      <c r="P464" s="11"/>
      <c r="Q464" s="11"/>
      <c r="R464" s="11"/>
      <c r="S464" s="11"/>
      <c r="T464" s="11"/>
      <c r="U464" s="11" t="str">
        <f>IF(AND(ROW()-1&lt;=教室申込!$K$5,教室申込!$K$7=0,COUNTA(教室申込!$C$4)=1),INDEX(展開用!$F$2:$F$601,MATCH(ROW()-1,展開用!$E$2:$E$601,0)),"")</f>
        <v/>
      </c>
      <c r="V464" s="11"/>
      <c r="W464" s="11"/>
      <c r="X464" s="11"/>
      <c r="Y464" s="11"/>
      <c r="Z464" s="11"/>
      <c r="AA464" s="11" t="str">
        <f>IF($AW464="","",IF(INDEX(教室申込!$J$1:$J$212,$AW464)="","",INDEX(教室申込!$J$1:$J$212,$AW464)))</f>
        <v/>
      </c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" t="str">
        <f>IF(AND(ROW()-1&lt;=教室申込!$K$5,教室申込!$K$7=0,COUNTA(教室申込!$C$4)=1),INDEX(展開用!$B$2:$B$601,MATCH(ROW()-1,展開用!$E$2:$E$601,0)),"")</f>
        <v/>
      </c>
      <c r="AX464" s="1"/>
      <c r="AY464" s="1"/>
    </row>
    <row r="465" spans="1:51" ht="24" customHeight="1">
      <c r="A465" s="11"/>
      <c r="B465" s="11"/>
      <c r="C465" s="11"/>
      <c r="D465" s="11"/>
      <c r="E465" s="11"/>
      <c r="F465" s="11"/>
      <c r="G465" s="11"/>
      <c r="H465" s="11" t="str">
        <f>IF(AND(ROW()-1&lt;=教室申込!$K$5,教室申込!$K$7=0,COUNTA(教室申込!$C$4)=1),INDEX(展開用!$C$2:$C$601,MATCH(ROW()-1,展開用!$E$2:$E$601,0)),"")</f>
        <v/>
      </c>
      <c r="I465" s="11" t="str">
        <f>IF(AND(ROW()-1&lt;=教室申込!$K$5,教室申込!$K$7=0,COUNTA(教室申込!$C$4)=1),INDEX(展開用!$D$2:$D$601,MATCH(ROW()-1,展開用!$E$2:$E$601,0)),"")</f>
        <v/>
      </c>
      <c r="J465" s="11"/>
      <c r="K465" s="11"/>
      <c r="L465" s="11" t="str">
        <f>IF(AND(ROW()-1&lt;=教室申込!$K$5,教室申込!$K$7=0,COUNTA(教室申込!$C$4)=1),INDEX(教室申込!$B$1:$B$212,$AW465),"")</f>
        <v/>
      </c>
      <c r="M465" s="11" t="str">
        <f>IF(AND(ROW()-1&lt;=教室申込!$K$5,教室申込!$K$7=0,COUNTA(教室申込!$C$4)=1),INDEX(教室申込!$C$1:$C$212,$AW465),"")</f>
        <v/>
      </c>
      <c r="N465" s="11"/>
      <c r="O465" s="12" t="str">
        <f>IF(AND(ROW()-1&lt;=教室申込!$K$5,教室申込!$K$7=0,COUNTA(教室申込!$C$4)=1),INDEX(展開用!$G$2:$G$601,MATCH(ROW()-1,展開用!$E$2:$E$601,0)),"")</f>
        <v/>
      </c>
      <c r="P465" s="11"/>
      <c r="Q465" s="11"/>
      <c r="R465" s="11"/>
      <c r="S465" s="11"/>
      <c r="T465" s="11"/>
      <c r="U465" s="11" t="str">
        <f>IF(AND(ROW()-1&lt;=教室申込!$K$5,教室申込!$K$7=0,COUNTA(教室申込!$C$4)=1),INDEX(展開用!$F$2:$F$601,MATCH(ROW()-1,展開用!$E$2:$E$601,0)),"")</f>
        <v/>
      </c>
      <c r="V465" s="11"/>
      <c r="W465" s="11"/>
      <c r="X465" s="11"/>
      <c r="Y465" s="11"/>
      <c r="Z465" s="11"/>
      <c r="AA465" s="11" t="str">
        <f>IF($AW465="","",IF(INDEX(教室申込!$J$1:$J$212,$AW465)="","",INDEX(教室申込!$J$1:$J$212,$AW465)))</f>
        <v/>
      </c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" t="str">
        <f>IF(AND(ROW()-1&lt;=教室申込!$K$5,教室申込!$K$7=0,COUNTA(教室申込!$C$4)=1),INDEX(展開用!$B$2:$B$601,MATCH(ROW()-1,展開用!$E$2:$E$601,0)),"")</f>
        <v/>
      </c>
      <c r="AX465" s="1"/>
      <c r="AY465" s="1"/>
    </row>
    <row r="466" spans="1:51" ht="24" customHeight="1">
      <c r="A466" s="11"/>
      <c r="B466" s="11"/>
      <c r="C466" s="11"/>
      <c r="D466" s="11"/>
      <c r="E466" s="11"/>
      <c r="F466" s="11"/>
      <c r="G466" s="11"/>
      <c r="H466" s="11" t="str">
        <f>IF(AND(ROW()-1&lt;=教室申込!$K$5,教室申込!$K$7=0,COUNTA(教室申込!$C$4)=1),INDEX(展開用!$C$2:$C$601,MATCH(ROW()-1,展開用!$E$2:$E$601,0)),"")</f>
        <v/>
      </c>
      <c r="I466" s="11" t="str">
        <f>IF(AND(ROW()-1&lt;=教室申込!$K$5,教室申込!$K$7=0,COUNTA(教室申込!$C$4)=1),INDEX(展開用!$D$2:$D$601,MATCH(ROW()-1,展開用!$E$2:$E$601,0)),"")</f>
        <v/>
      </c>
      <c r="J466" s="11"/>
      <c r="K466" s="11"/>
      <c r="L466" s="11" t="str">
        <f>IF(AND(ROW()-1&lt;=教室申込!$K$5,教室申込!$K$7=0,COUNTA(教室申込!$C$4)=1),INDEX(教室申込!$B$1:$B$212,$AW466),"")</f>
        <v/>
      </c>
      <c r="M466" s="11" t="str">
        <f>IF(AND(ROW()-1&lt;=教室申込!$K$5,教室申込!$K$7=0,COUNTA(教室申込!$C$4)=1),INDEX(教室申込!$C$1:$C$212,$AW466),"")</f>
        <v/>
      </c>
      <c r="N466" s="11"/>
      <c r="O466" s="12" t="str">
        <f>IF(AND(ROW()-1&lt;=教室申込!$K$5,教室申込!$K$7=0,COUNTA(教室申込!$C$4)=1),INDEX(展開用!$G$2:$G$601,MATCH(ROW()-1,展開用!$E$2:$E$601,0)),"")</f>
        <v/>
      </c>
      <c r="P466" s="11"/>
      <c r="Q466" s="11"/>
      <c r="R466" s="11"/>
      <c r="S466" s="11"/>
      <c r="T466" s="11"/>
      <c r="U466" s="11" t="str">
        <f>IF(AND(ROW()-1&lt;=教室申込!$K$5,教室申込!$K$7=0,COUNTA(教室申込!$C$4)=1),INDEX(展開用!$F$2:$F$601,MATCH(ROW()-1,展開用!$E$2:$E$601,0)),"")</f>
        <v/>
      </c>
      <c r="V466" s="11"/>
      <c r="W466" s="11"/>
      <c r="X466" s="11"/>
      <c r="Y466" s="11"/>
      <c r="Z466" s="11"/>
      <c r="AA466" s="11" t="str">
        <f>IF($AW466="","",IF(INDEX(教室申込!$J$1:$J$212,$AW466)="","",INDEX(教室申込!$J$1:$J$212,$AW466)))</f>
        <v/>
      </c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" t="str">
        <f>IF(AND(ROW()-1&lt;=教室申込!$K$5,教室申込!$K$7=0,COUNTA(教室申込!$C$4)=1),INDEX(展開用!$B$2:$B$601,MATCH(ROW()-1,展開用!$E$2:$E$601,0)),"")</f>
        <v/>
      </c>
      <c r="AX466" s="1"/>
      <c r="AY466" s="1"/>
    </row>
    <row r="467" spans="1:51" ht="24" customHeight="1">
      <c r="A467" s="11"/>
      <c r="B467" s="11"/>
      <c r="C467" s="11"/>
      <c r="D467" s="11"/>
      <c r="E467" s="11"/>
      <c r="F467" s="11"/>
      <c r="G467" s="11"/>
      <c r="H467" s="11" t="str">
        <f>IF(AND(ROW()-1&lt;=教室申込!$K$5,教室申込!$K$7=0,COUNTA(教室申込!$C$4)=1),INDEX(展開用!$C$2:$C$601,MATCH(ROW()-1,展開用!$E$2:$E$601,0)),"")</f>
        <v/>
      </c>
      <c r="I467" s="11" t="str">
        <f>IF(AND(ROW()-1&lt;=教室申込!$K$5,教室申込!$K$7=0,COUNTA(教室申込!$C$4)=1),INDEX(展開用!$D$2:$D$601,MATCH(ROW()-1,展開用!$E$2:$E$601,0)),"")</f>
        <v/>
      </c>
      <c r="J467" s="11"/>
      <c r="K467" s="11"/>
      <c r="L467" s="11" t="str">
        <f>IF(AND(ROW()-1&lt;=教室申込!$K$5,教室申込!$K$7=0,COUNTA(教室申込!$C$4)=1),INDEX(教室申込!$B$1:$B$212,$AW467),"")</f>
        <v/>
      </c>
      <c r="M467" s="11" t="str">
        <f>IF(AND(ROW()-1&lt;=教室申込!$K$5,教室申込!$K$7=0,COUNTA(教室申込!$C$4)=1),INDEX(教室申込!$C$1:$C$212,$AW467),"")</f>
        <v/>
      </c>
      <c r="N467" s="11"/>
      <c r="O467" s="12" t="str">
        <f>IF(AND(ROW()-1&lt;=教室申込!$K$5,教室申込!$K$7=0,COUNTA(教室申込!$C$4)=1),INDEX(展開用!$G$2:$G$601,MATCH(ROW()-1,展開用!$E$2:$E$601,0)),"")</f>
        <v/>
      </c>
      <c r="P467" s="11"/>
      <c r="Q467" s="11"/>
      <c r="R467" s="11"/>
      <c r="S467" s="11"/>
      <c r="T467" s="11"/>
      <c r="U467" s="11" t="str">
        <f>IF(AND(ROW()-1&lt;=教室申込!$K$5,教室申込!$K$7=0,COUNTA(教室申込!$C$4)=1),INDEX(展開用!$F$2:$F$601,MATCH(ROW()-1,展開用!$E$2:$E$601,0)),"")</f>
        <v/>
      </c>
      <c r="V467" s="11"/>
      <c r="W467" s="11"/>
      <c r="X467" s="11"/>
      <c r="Y467" s="11"/>
      <c r="Z467" s="11"/>
      <c r="AA467" s="11" t="str">
        <f>IF($AW467="","",IF(INDEX(教室申込!$J$1:$J$212,$AW467)="","",INDEX(教室申込!$J$1:$J$212,$AW467)))</f>
        <v/>
      </c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" t="str">
        <f>IF(AND(ROW()-1&lt;=教室申込!$K$5,教室申込!$K$7=0,COUNTA(教室申込!$C$4)=1),INDEX(展開用!$B$2:$B$601,MATCH(ROW()-1,展開用!$E$2:$E$601,0)),"")</f>
        <v/>
      </c>
      <c r="AX467" s="1"/>
      <c r="AY467" s="1"/>
    </row>
    <row r="468" spans="1:51" ht="24" customHeight="1">
      <c r="A468" s="11"/>
      <c r="B468" s="11"/>
      <c r="C468" s="11"/>
      <c r="D468" s="11"/>
      <c r="E468" s="11"/>
      <c r="F468" s="11"/>
      <c r="G468" s="11"/>
      <c r="H468" s="11" t="str">
        <f>IF(AND(ROW()-1&lt;=教室申込!$K$5,教室申込!$K$7=0,COUNTA(教室申込!$C$4)=1),INDEX(展開用!$C$2:$C$601,MATCH(ROW()-1,展開用!$E$2:$E$601,0)),"")</f>
        <v/>
      </c>
      <c r="I468" s="11" t="str">
        <f>IF(AND(ROW()-1&lt;=教室申込!$K$5,教室申込!$K$7=0,COUNTA(教室申込!$C$4)=1),INDEX(展開用!$D$2:$D$601,MATCH(ROW()-1,展開用!$E$2:$E$601,0)),"")</f>
        <v/>
      </c>
      <c r="J468" s="11"/>
      <c r="K468" s="11"/>
      <c r="L468" s="11" t="str">
        <f>IF(AND(ROW()-1&lt;=教室申込!$K$5,教室申込!$K$7=0,COUNTA(教室申込!$C$4)=1),INDEX(教室申込!$B$1:$B$212,$AW468),"")</f>
        <v/>
      </c>
      <c r="M468" s="11" t="str">
        <f>IF(AND(ROW()-1&lt;=教室申込!$K$5,教室申込!$K$7=0,COUNTA(教室申込!$C$4)=1),INDEX(教室申込!$C$1:$C$212,$AW468),"")</f>
        <v/>
      </c>
      <c r="N468" s="11"/>
      <c r="O468" s="12" t="str">
        <f>IF(AND(ROW()-1&lt;=教室申込!$K$5,教室申込!$K$7=0,COUNTA(教室申込!$C$4)=1),INDEX(展開用!$G$2:$G$601,MATCH(ROW()-1,展開用!$E$2:$E$601,0)),"")</f>
        <v/>
      </c>
      <c r="P468" s="11"/>
      <c r="Q468" s="11"/>
      <c r="R468" s="11"/>
      <c r="S468" s="11"/>
      <c r="T468" s="11"/>
      <c r="U468" s="11" t="str">
        <f>IF(AND(ROW()-1&lt;=教室申込!$K$5,教室申込!$K$7=0,COUNTA(教室申込!$C$4)=1),INDEX(展開用!$F$2:$F$601,MATCH(ROW()-1,展開用!$E$2:$E$601,0)),"")</f>
        <v/>
      </c>
      <c r="V468" s="11"/>
      <c r="W468" s="11"/>
      <c r="X468" s="11"/>
      <c r="Y468" s="11"/>
      <c r="Z468" s="11"/>
      <c r="AA468" s="11" t="str">
        <f>IF($AW468="","",IF(INDEX(教室申込!$J$1:$J$212,$AW468)="","",INDEX(教室申込!$J$1:$J$212,$AW468)))</f>
        <v/>
      </c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" t="str">
        <f>IF(AND(ROW()-1&lt;=教室申込!$K$5,教室申込!$K$7=0,COUNTA(教室申込!$C$4)=1),INDEX(展開用!$B$2:$B$601,MATCH(ROW()-1,展開用!$E$2:$E$601,0)),"")</f>
        <v/>
      </c>
      <c r="AX468" s="1"/>
      <c r="AY468" s="1"/>
    </row>
    <row r="469" spans="1:51" ht="24" customHeight="1">
      <c r="A469" s="11"/>
      <c r="B469" s="11"/>
      <c r="C469" s="11"/>
      <c r="D469" s="11"/>
      <c r="E469" s="11"/>
      <c r="F469" s="11"/>
      <c r="G469" s="11"/>
      <c r="H469" s="11" t="str">
        <f>IF(AND(ROW()-1&lt;=教室申込!$K$5,教室申込!$K$7=0,COUNTA(教室申込!$C$4)=1),INDEX(展開用!$C$2:$C$601,MATCH(ROW()-1,展開用!$E$2:$E$601,0)),"")</f>
        <v/>
      </c>
      <c r="I469" s="11" t="str">
        <f>IF(AND(ROW()-1&lt;=教室申込!$K$5,教室申込!$K$7=0,COUNTA(教室申込!$C$4)=1),INDEX(展開用!$D$2:$D$601,MATCH(ROW()-1,展開用!$E$2:$E$601,0)),"")</f>
        <v/>
      </c>
      <c r="J469" s="11"/>
      <c r="K469" s="11"/>
      <c r="L469" s="11" t="str">
        <f>IF(AND(ROW()-1&lt;=教室申込!$K$5,教室申込!$K$7=0,COUNTA(教室申込!$C$4)=1),INDEX(教室申込!$B$1:$B$212,$AW469),"")</f>
        <v/>
      </c>
      <c r="M469" s="11" t="str">
        <f>IF(AND(ROW()-1&lt;=教室申込!$K$5,教室申込!$K$7=0,COUNTA(教室申込!$C$4)=1),INDEX(教室申込!$C$1:$C$212,$AW469),"")</f>
        <v/>
      </c>
      <c r="N469" s="11"/>
      <c r="O469" s="12" t="str">
        <f>IF(AND(ROW()-1&lt;=教室申込!$K$5,教室申込!$K$7=0,COUNTA(教室申込!$C$4)=1),INDEX(展開用!$G$2:$G$601,MATCH(ROW()-1,展開用!$E$2:$E$601,0)),"")</f>
        <v/>
      </c>
      <c r="P469" s="11"/>
      <c r="Q469" s="11"/>
      <c r="R469" s="11"/>
      <c r="S469" s="11"/>
      <c r="T469" s="11"/>
      <c r="U469" s="11" t="str">
        <f>IF(AND(ROW()-1&lt;=教室申込!$K$5,教室申込!$K$7=0,COUNTA(教室申込!$C$4)=1),INDEX(展開用!$F$2:$F$601,MATCH(ROW()-1,展開用!$E$2:$E$601,0)),"")</f>
        <v/>
      </c>
      <c r="V469" s="11"/>
      <c r="W469" s="11"/>
      <c r="X469" s="11"/>
      <c r="Y469" s="11"/>
      <c r="Z469" s="11"/>
      <c r="AA469" s="11" t="str">
        <f>IF($AW469="","",IF(INDEX(教室申込!$J$1:$J$212,$AW469)="","",INDEX(教室申込!$J$1:$J$212,$AW469)))</f>
        <v/>
      </c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" t="str">
        <f>IF(AND(ROW()-1&lt;=教室申込!$K$5,教室申込!$K$7=0,COUNTA(教室申込!$C$4)=1),INDEX(展開用!$B$2:$B$601,MATCH(ROW()-1,展開用!$E$2:$E$601,0)),"")</f>
        <v/>
      </c>
      <c r="AX469" s="1"/>
      <c r="AY469" s="1"/>
    </row>
    <row r="470" spans="1:51" ht="24" customHeight="1">
      <c r="A470" s="11"/>
      <c r="B470" s="11"/>
      <c r="C470" s="11"/>
      <c r="D470" s="11"/>
      <c r="E470" s="11"/>
      <c r="F470" s="11"/>
      <c r="G470" s="11"/>
      <c r="H470" s="11" t="str">
        <f>IF(AND(ROW()-1&lt;=教室申込!$K$5,教室申込!$K$7=0,COUNTA(教室申込!$C$4)=1),INDEX(展開用!$C$2:$C$601,MATCH(ROW()-1,展開用!$E$2:$E$601,0)),"")</f>
        <v/>
      </c>
      <c r="I470" s="11" t="str">
        <f>IF(AND(ROW()-1&lt;=教室申込!$K$5,教室申込!$K$7=0,COUNTA(教室申込!$C$4)=1),INDEX(展開用!$D$2:$D$601,MATCH(ROW()-1,展開用!$E$2:$E$601,0)),"")</f>
        <v/>
      </c>
      <c r="J470" s="11"/>
      <c r="K470" s="11"/>
      <c r="L470" s="11" t="str">
        <f>IF(AND(ROW()-1&lt;=教室申込!$K$5,教室申込!$K$7=0,COUNTA(教室申込!$C$4)=1),INDEX(教室申込!$B$1:$B$212,$AW470),"")</f>
        <v/>
      </c>
      <c r="M470" s="11" t="str">
        <f>IF(AND(ROW()-1&lt;=教室申込!$K$5,教室申込!$K$7=0,COUNTA(教室申込!$C$4)=1),INDEX(教室申込!$C$1:$C$212,$AW470),"")</f>
        <v/>
      </c>
      <c r="N470" s="11"/>
      <c r="O470" s="12" t="str">
        <f>IF(AND(ROW()-1&lt;=教室申込!$K$5,教室申込!$K$7=0,COUNTA(教室申込!$C$4)=1),INDEX(展開用!$G$2:$G$601,MATCH(ROW()-1,展開用!$E$2:$E$601,0)),"")</f>
        <v/>
      </c>
      <c r="P470" s="11"/>
      <c r="Q470" s="11"/>
      <c r="R470" s="11"/>
      <c r="S470" s="11"/>
      <c r="T470" s="11"/>
      <c r="U470" s="11" t="str">
        <f>IF(AND(ROW()-1&lt;=教室申込!$K$5,教室申込!$K$7=0,COUNTA(教室申込!$C$4)=1),INDEX(展開用!$F$2:$F$601,MATCH(ROW()-1,展開用!$E$2:$E$601,0)),"")</f>
        <v/>
      </c>
      <c r="V470" s="11"/>
      <c r="W470" s="11"/>
      <c r="X470" s="11"/>
      <c r="Y470" s="11"/>
      <c r="Z470" s="11"/>
      <c r="AA470" s="11" t="str">
        <f>IF($AW470="","",IF(INDEX(教室申込!$J$1:$J$212,$AW470)="","",INDEX(教室申込!$J$1:$J$212,$AW470)))</f>
        <v/>
      </c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" t="str">
        <f>IF(AND(ROW()-1&lt;=教室申込!$K$5,教室申込!$K$7=0,COUNTA(教室申込!$C$4)=1),INDEX(展開用!$B$2:$B$601,MATCH(ROW()-1,展開用!$E$2:$E$601,0)),"")</f>
        <v/>
      </c>
      <c r="AX470" s="1"/>
      <c r="AY470" s="1"/>
    </row>
    <row r="471" spans="1:51" ht="24" customHeight="1">
      <c r="A471" s="11"/>
      <c r="B471" s="11"/>
      <c r="C471" s="11"/>
      <c r="D471" s="11"/>
      <c r="E471" s="11"/>
      <c r="F471" s="11"/>
      <c r="G471" s="11"/>
      <c r="H471" s="11" t="str">
        <f>IF(AND(ROW()-1&lt;=教室申込!$K$5,教室申込!$K$7=0,COUNTA(教室申込!$C$4)=1),INDEX(展開用!$C$2:$C$601,MATCH(ROW()-1,展開用!$E$2:$E$601,0)),"")</f>
        <v/>
      </c>
      <c r="I471" s="11" t="str">
        <f>IF(AND(ROW()-1&lt;=教室申込!$K$5,教室申込!$K$7=0,COUNTA(教室申込!$C$4)=1),INDEX(展開用!$D$2:$D$601,MATCH(ROW()-1,展開用!$E$2:$E$601,0)),"")</f>
        <v/>
      </c>
      <c r="J471" s="11"/>
      <c r="K471" s="11"/>
      <c r="L471" s="11" t="str">
        <f>IF(AND(ROW()-1&lt;=教室申込!$K$5,教室申込!$K$7=0,COUNTA(教室申込!$C$4)=1),INDEX(教室申込!$B$1:$B$212,$AW471),"")</f>
        <v/>
      </c>
      <c r="M471" s="11" t="str">
        <f>IF(AND(ROW()-1&lt;=教室申込!$K$5,教室申込!$K$7=0,COUNTA(教室申込!$C$4)=1),INDEX(教室申込!$C$1:$C$212,$AW471),"")</f>
        <v/>
      </c>
      <c r="N471" s="11"/>
      <c r="O471" s="12" t="str">
        <f>IF(AND(ROW()-1&lt;=教室申込!$K$5,教室申込!$K$7=0,COUNTA(教室申込!$C$4)=1),INDEX(展開用!$G$2:$G$601,MATCH(ROW()-1,展開用!$E$2:$E$601,0)),"")</f>
        <v/>
      </c>
      <c r="P471" s="11"/>
      <c r="Q471" s="11"/>
      <c r="R471" s="11"/>
      <c r="S471" s="11"/>
      <c r="T471" s="11"/>
      <c r="U471" s="11" t="str">
        <f>IF(AND(ROW()-1&lt;=教室申込!$K$5,教室申込!$K$7=0,COUNTA(教室申込!$C$4)=1),INDEX(展開用!$F$2:$F$601,MATCH(ROW()-1,展開用!$E$2:$E$601,0)),"")</f>
        <v/>
      </c>
      <c r="V471" s="11"/>
      <c r="W471" s="11"/>
      <c r="X471" s="11"/>
      <c r="Y471" s="11"/>
      <c r="Z471" s="11"/>
      <c r="AA471" s="11" t="str">
        <f>IF($AW471="","",IF(INDEX(教室申込!$J$1:$J$212,$AW471)="","",INDEX(教室申込!$J$1:$J$212,$AW471)))</f>
        <v/>
      </c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" t="str">
        <f>IF(AND(ROW()-1&lt;=教室申込!$K$5,教室申込!$K$7=0,COUNTA(教室申込!$C$4)=1),INDEX(展開用!$B$2:$B$601,MATCH(ROW()-1,展開用!$E$2:$E$601,0)),"")</f>
        <v/>
      </c>
      <c r="AX471" s="1"/>
      <c r="AY471" s="1"/>
    </row>
    <row r="472" spans="1:51" ht="24" customHeight="1">
      <c r="A472" s="11"/>
      <c r="B472" s="11"/>
      <c r="C472" s="11"/>
      <c r="D472" s="11"/>
      <c r="E472" s="11"/>
      <c r="F472" s="11"/>
      <c r="G472" s="11"/>
      <c r="H472" s="11" t="str">
        <f>IF(AND(ROW()-1&lt;=教室申込!$K$5,教室申込!$K$7=0,COUNTA(教室申込!$C$4)=1),INDEX(展開用!$C$2:$C$601,MATCH(ROW()-1,展開用!$E$2:$E$601,0)),"")</f>
        <v/>
      </c>
      <c r="I472" s="11" t="str">
        <f>IF(AND(ROW()-1&lt;=教室申込!$K$5,教室申込!$K$7=0,COUNTA(教室申込!$C$4)=1),INDEX(展開用!$D$2:$D$601,MATCH(ROW()-1,展開用!$E$2:$E$601,0)),"")</f>
        <v/>
      </c>
      <c r="J472" s="11"/>
      <c r="K472" s="11"/>
      <c r="L472" s="11" t="str">
        <f>IF(AND(ROW()-1&lt;=教室申込!$K$5,教室申込!$K$7=0,COUNTA(教室申込!$C$4)=1),INDEX(教室申込!$B$1:$B$212,$AW472),"")</f>
        <v/>
      </c>
      <c r="M472" s="11" t="str">
        <f>IF(AND(ROW()-1&lt;=教室申込!$K$5,教室申込!$K$7=0,COUNTA(教室申込!$C$4)=1),INDEX(教室申込!$C$1:$C$212,$AW472),"")</f>
        <v/>
      </c>
      <c r="N472" s="11"/>
      <c r="O472" s="12" t="str">
        <f>IF(AND(ROW()-1&lt;=教室申込!$K$5,教室申込!$K$7=0,COUNTA(教室申込!$C$4)=1),INDEX(展開用!$G$2:$G$601,MATCH(ROW()-1,展開用!$E$2:$E$601,0)),"")</f>
        <v/>
      </c>
      <c r="P472" s="11"/>
      <c r="Q472" s="11"/>
      <c r="R472" s="11"/>
      <c r="S472" s="11"/>
      <c r="T472" s="11"/>
      <c r="U472" s="11" t="str">
        <f>IF(AND(ROW()-1&lt;=教室申込!$K$5,教室申込!$K$7=0,COUNTA(教室申込!$C$4)=1),INDEX(展開用!$F$2:$F$601,MATCH(ROW()-1,展開用!$E$2:$E$601,0)),"")</f>
        <v/>
      </c>
      <c r="V472" s="11"/>
      <c r="W472" s="11"/>
      <c r="X472" s="11"/>
      <c r="Y472" s="11"/>
      <c r="Z472" s="11"/>
      <c r="AA472" s="11" t="str">
        <f>IF($AW472="","",IF(INDEX(教室申込!$J$1:$J$212,$AW472)="","",INDEX(教室申込!$J$1:$J$212,$AW472)))</f>
        <v/>
      </c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" t="str">
        <f>IF(AND(ROW()-1&lt;=教室申込!$K$5,教室申込!$K$7=0,COUNTA(教室申込!$C$4)=1),INDEX(展開用!$B$2:$B$601,MATCH(ROW()-1,展開用!$E$2:$E$601,0)),"")</f>
        <v/>
      </c>
      <c r="AX472" s="1"/>
      <c r="AY472" s="1"/>
    </row>
    <row r="473" spans="1:51" ht="24" customHeight="1">
      <c r="A473" s="11"/>
      <c r="B473" s="11"/>
      <c r="C473" s="11"/>
      <c r="D473" s="11"/>
      <c r="E473" s="11"/>
      <c r="F473" s="11"/>
      <c r="G473" s="11"/>
      <c r="H473" s="11" t="str">
        <f>IF(AND(ROW()-1&lt;=教室申込!$K$5,教室申込!$K$7=0,COUNTA(教室申込!$C$4)=1),INDEX(展開用!$C$2:$C$601,MATCH(ROW()-1,展開用!$E$2:$E$601,0)),"")</f>
        <v/>
      </c>
      <c r="I473" s="11" t="str">
        <f>IF(AND(ROW()-1&lt;=教室申込!$K$5,教室申込!$K$7=0,COUNTA(教室申込!$C$4)=1),INDEX(展開用!$D$2:$D$601,MATCH(ROW()-1,展開用!$E$2:$E$601,0)),"")</f>
        <v/>
      </c>
      <c r="J473" s="11"/>
      <c r="K473" s="11"/>
      <c r="L473" s="11" t="str">
        <f>IF(AND(ROW()-1&lt;=教室申込!$K$5,教室申込!$K$7=0,COUNTA(教室申込!$C$4)=1),INDEX(教室申込!$B$1:$B$212,$AW473),"")</f>
        <v/>
      </c>
      <c r="M473" s="11" t="str">
        <f>IF(AND(ROW()-1&lt;=教室申込!$K$5,教室申込!$K$7=0,COUNTA(教室申込!$C$4)=1),INDEX(教室申込!$C$1:$C$212,$AW473),"")</f>
        <v/>
      </c>
      <c r="N473" s="11"/>
      <c r="O473" s="12" t="str">
        <f>IF(AND(ROW()-1&lt;=教室申込!$K$5,教室申込!$K$7=0,COUNTA(教室申込!$C$4)=1),INDEX(展開用!$G$2:$G$601,MATCH(ROW()-1,展開用!$E$2:$E$601,0)),"")</f>
        <v/>
      </c>
      <c r="P473" s="11"/>
      <c r="Q473" s="11"/>
      <c r="R473" s="11"/>
      <c r="S473" s="11"/>
      <c r="T473" s="11"/>
      <c r="U473" s="11" t="str">
        <f>IF(AND(ROW()-1&lt;=教室申込!$K$5,教室申込!$K$7=0,COUNTA(教室申込!$C$4)=1),INDEX(展開用!$F$2:$F$601,MATCH(ROW()-1,展開用!$E$2:$E$601,0)),"")</f>
        <v/>
      </c>
      <c r="V473" s="11"/>
      <c r="W473" s="11"/>
      <c r="X473" s="11"/>
      <c r="Y473" s="11"/>
      <c r="Z473" s="11"/>
      <c r="AA473" s="11" t="str">
        <f>IF($AW473="","",IF(INDEX(教室申込!$J$1:$J$212,$AW473)="","",INDEX(教室申込!$J$1:$J$212,$AW473)))</f>
        <v/>
      </c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" t="str">
        <f>IF(AND(ROW()-1&lt;=教室申込!$K$5,教室申込!$K$7=0,COUNTA(教室申込!$C$4)=1),INDEX(展開用!$B$2:$B$601,MATCH(ROW()-1,展開用!$E$2:$E$601,0)),"")</f>
        <v/>
      </c>
      <c r="AX473" s="1"/>
      <c r="AY473" s="1"/>
    </row>
    <row r="474" spans="1:51" ht="24" customHeight="1">
      <c r="A474" s="11"/>
      <c r="B474" s="11"/>
      <c r="C474" s="11"/>
      <c r="D474" s="11"/>
      <c r="E474" s="11"/>
      <c r="F474" s="11"/>
      <c r="G474" s="11"/>
      <c r="H474" s="11" t="str">
        <f>IF(AND(ROW()-1&lt;=教室申込!$K$5,教室申込!$K$7=0,COUNTA(教室申込!$C$4)=1),INDEX(展開用!$C$2:$C$601,MATCH(ROW()-1,展開用!$E$2:$E$601,0)),"")</f>
        <v/>
      </c>
      <c r="I474" s="11" t="str">
        <f>IF(AND(ROW()-1&lt;=教室申込!$K$5,教室申込!$K$7=0,COUNTA(教室申込!$C$4)=1),INDEX(展開用!$D$2:$D$601,MATCH(ROW()-1,展開用!$E$2:$E$601,0)),"")</f>
        <v/>
      </c>
      <c r="J474" s="11"/>
      <c r="K474" s="11"/>
      <c r="L474" s="11" t="str">
        <f>IF(AND(ROW()-1&lt;=教室申込!$K$5,教室申込!$K$7=0,COUNTA(教室申込!$C$4)=1),INDEX(教室申込!$B$1:$B$212,$AW474),"")</f>
        <v/>
      </c>
      <c r="M474" s="11" t="str">
        <f>IF(AND(ROW()-1&lt;=教室申込!$K$5,教室申込!$K$7=0,COUNTA(教室申込!$C$4)=1),INDEX(教室申込!$C$1:$C$212,$AW474),"")</f>
        <v/>
      </c>
      <c r="N474" s="11"/>
      <c r="O474" s="12" t="str">
        <f>IF(AND(ROW()-1&lt;=教室申込!$K$5,教室申込!$K$7=0,COUNTA(教室申込!$C$4)=1),INDEX(展開用!$G$2:$G$601,MATCH(ROW()-1,展開用!$E$2:$E$601,0)),"")</f>
        <v/>
      </c>
      <c r="P474" s="11"/>
      <c r="Q474" s="11"/>
      <c r="R474" s="11"/>
      <c r="S474" s="11"/>
      <c r="T474" s="11"/>
      <c r="U474" s="11" t="str">
        <f>IF(AND(ROW()-1&lt;=教室申込!$K$5,教室申込!$K$7=0,COUNTA(教室申込!$C$4)=1),INDEX(展開用!$F$2:$F$601,MATCH(ROW()-1,展開用!$E$2:$E$601,0)),"")</f>
        <v/>
      </c>
      <c r="V474" s="11"/>
      <c r="W474" s="11"/>
      <c r="X474" s="11"/>
      <c r="Y474" s="11"/>
      <c r="Z474" s="11"/>
      <c r="AA474" s="11" t="str">
        <f>IF($AW474="","",IF(INDEX(教室申込!$J$1:$J$212,$AW474)="","",INDEX(教室申込!$J$1:$J$212,$AW474)))</f>
        <v/>
      </c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" t="str">
        <f>IF(AND(ROW()-1&lt;=教室申込!$K$5,教室申込!$K$7=0,COUNTA(教室申込!$C$4)=1),INDEX(展開用!$B$2:$B$601,MATCH(ROW()-1,展開用!$E$2:$E$601,0)),"")</f>
        <v/>
      </c>
      <c r="AX474" s="1"/>
      <c r="AY474" s="1"/>
    </row>
    <row r="475" spans="1:51" ht="24" customHeight="1">
      <c r="A475" s="11"/>
      <c r="B475" s="11"/>
      <c r="C475" s="11"/>
      <c r="D475" s="11"/>
      <c r="E475" s="11"/>
      <c r="F475" s="11"/>
      <c r="G475" s="11"/>
      <c r="H475" s="11" t="str">
        <f>IF(AND(ROW()-1&lt;=教室申込!$K$5,教室申込!$K$7=0,COUNTA(教室申込!$C$4)=1),INDEX(展開用!$C$2:$C$601,MATCH(ROW()-1,展開用!$E$2:$E$601,0)),"")</f>
        <v/>
      </c>
      <c r="I475" s="11" t="str">
        <f>IF(AND(ROW()-1&lt;=教室申込!$K$5,教室申込!$K$7=0,COUNTA(教室申込!$C$4)=1),INDEX(展開用!$D$2:$D$601,MATCH(ROW()-1,展開用!$E$2:$E$601,0)),"")</f>
        <v/>
      </c>
      <c r="J475" s="11"/>
      <c r="K475" s="11"/>
      <c r="L475" s="11" t="str">
        <f>IF(AND(ROW()-1&lt;=教室申込!$K$5,教室申込!$K$7=0,COUNTA(教室申込!$C$4)=1),INDEX(教室申込!$B$1:$B$212,$AW475),"")</f>
        <v/>
      </c>
      <c r="M475" s="11" t="str">
        <f>IF(AND(ROW()-1&lt;=教室申込!$K$5,教室申込!$K$7=0,COUNTA(教室申込!$C$4)=1),INDEX(教室申込!$C$1:$C$212,$AW475),"")</f>
        <v/>
      </c>
      <c r="N475" s="11"/>
      <c r="O475" s="12" t="str">
        <f>IF(AND(ROW()-1&lt;=教室申込!$K$5,教室申込!$K$7=0,COUNTA(教室申込!$C$4)=1),INDEX(展開用!$G$2:$G$601,MATCH(ROW()-1,展開用!$E$2:$E$601,0)),"")</f>
        <v/>
      </c>
      <c r="P475" s="11"/>
      <c r="Q475" s="11"/>
      <c r="R475" s="11"/>
      <c r="S475" s="11"/>
      <c r="T475" s="11"/>
      <c r="U475" s="11" t="str">
        <f>IF(AND(ROW()-1&lt;=教室申込!$K$5,教室申込!$K$7=0,COUNTA(教室申込!$C$4)=1),INDEX(展開用!$F$2:$F$601,MATCH(ROW()-1,展開用!$E$2:$E$601,0)),"")</f>
        <v/>
      </c>
      <c r="V475" s="11"/>
      <c r="W475" s="11"/>
      <c r="X475" s="11"/>
      <c r="Y475" s="11"/>
      <c r="Z475" s="11"/>
      <c r="AA475" s="11" t="str">
        <f>IF($AW475="","",IF(INDEX(教室申込!$J$1:$J$212,$AW475)="","",INDEX(教室申込!$J$1:$J$212,$AW475)))</f>
        <v/>
      </c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" t="str">
        <f>IF(AND(ROW()-1&lt;=教室申込!$K$5,教室申込!$K$7=0,COUNTA(教室申込!$C$4)=1),INDEX(展開用!$B$2:$B$601,MATCH(ROW()-1,展開用!$E$2:$E$601,0)),"")</f>
        <v/>
      </c>
      <c r="AX475" s="1"/>
      <c r="AY475" s="1"/>
    </row>
    <row r="476" spans="1:51" ht="24" customHeight="1">
      <c r="A476" s="11"/>
      <c r="B476" s="11"/>
      <c r="C476" s="11"/>
      <c r="D476" s="11"/>
      <c r="E476" s="11"/>
      <c r="F476" s="11"/>
      <c r="G476" s="11"/>
      <c r="H476" s="11" t="str">
        <f>IF(AND(ROW()-1&lt;=教室申込!$K$5,教室申込!$K$7=0,COUNTA(教室申込!$C$4)=1),INDEX(展開用!$C$2:$C$601,MATCH(ROW()-1,展開用!$E$2:$E$601,0)),"")</f>
        <v/>
      </c>
      <c r="I476" s="11" t="str">
        <f>IF(AND(ROW()-1&lt;=教室申込!$K$5,教室申込!$K$7=0,COUNTA(教室申込!$C$4)=1),INDEX(展開用!$D$2:$D$601,MATCH(ROW()-1,展開用!$E$2:$E$601,0)),"")</f>
        <v/>
      </c>
      <c r="J476" s="11"/>
      <c r="K476" s="11"/>
      <c r="L476" s="11" t="str">
        <f>IF(AND(ROW()-1&lt;=教室申込!$K$5,教室申込!$K$7=0,COUNTA(教室申込!$C$4)=1),INDEX(教室申込!$B$1:$B$212,$AW476),"")</f>
        <v/>
      </c>
      <c r="M476" s="11" t="str">
        <f>IF(AND(ROW()-1&lt;=教室申込!$K$5,教室申込!$K$7=0,COUNTA(教室申込!$C$4)=1),INDEX(教室申込!$C$1:$C$212,$AW476),"")</f>
        <v/>
      </c>
      <c r="N476" s="11"/>
      <c r="O476" s="12" t="str">
        <f>IF(AND(ROW()-1&lt;=教室申込!$K$5,教室申込!$K$7=0,COUNTA(教室申込!$C$4)=1),INDEX(展開用!$G$2:$G$601,MATCH(ROW()-1,展開用!$E$2:$E$601,0)),"")</f>
        <v/>
      </c>
      <c r="P476" s="11"/>
      <c r="Q476" s="11"/>
      <c r="R476" s="11"/>
      <c r="S476" s="11"/>
      <c r="T476" s="11"/>
      <c r="U476" s="11" t="str">
        <f>IF(AND(ROW()-1&lt;=教室申込!$K$5,教室申込!$K$7=0,COUNTA(教室申込!$C$4)=1),INDEX(展開用!$F$2:$F$601,MATCH(ROW()-1,展開用!$E$2:$E$601,0)),"")</f>
        <v/>
      </c>
      <c r="V476" s="11"/>
      <c r="W476" s="11"/>
      <c r="X476" s="11"/>
      <c r="Y476" s="11"/>
      <c r="Z476" s="11"/>
      <c r="AA476" s="11" t="str">
        <f>IF($AW476="","",IF(INDEX(教室申込!$J$1:$J$212,$AW476)="","",INDEX(教室申込!$J$1:$J$212,$AW476)))</f>
        <v/>
      </c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" t="str">
        <f>IF(AND(ROW()-1&lt;=教室申込!$K$5,教室申込!$K$7=0,COUNTA(教室申込!$C$4)=1),INDEX(展開用!$B$2:$B$601,MATCH(ROW()-1,展開用!$E$2:$E$601,0)),"")</f>
        <v/>
      </c>
      <c r="AX476" s="1"/>
      <c r="AY476" s="1"/>
    </row>
    <row r="477" spans="1:51" ht="24" customHeight="1">
      <c r="A477" s="11"/>
      <c r="B477" s="11"/>
      <c r="C477" s="11"/>
      <c r="D477" s="11"/>
      <c r="E477" s="11"/>
      <c r="F477" s="11"/>
      <c r="G477" s="11"/>
      <c r="H477" s="11" t="str">
        <f>IF(AND(ROW()-1&lt;=教室申込!$K$5,教室申込!$K$7=0,COUNTA(教室申込!$C$4)=1),INDEX(展開用!$C$2:$C$601,MATCH(ROW()-1,展開用!$E$2:$E$601,0)),"")</f>
        <v/>
      </c>
      <c r="I477" s="11" t="str">
        <f>IF(AND(ROW()-1&lt;=教室申込!$K$5,教室申込!$K$7=0,COUNTA(教室申込!$C$4)=1),INDEX(展開用!$D$2:$D$601,MATCH(ROW()-1,展開用!$E$2:$E$601,0)),"")</f>
        <v/>
      </c>
      <c r="J477" s="11"/>
      <c r="K477" s="11"/>
      <c r="L477" s="11" t="str">
        <f>IF(AND(ROW()-1&lt;=教室申込!$K$5,教室申込!$K$7=0,COUNTA(教室申込!$C$4)=1),INDEX(教室申込!$B$1:$B$212,$AW477),"")</f>
        <v/>
      </c>
      <c r="M477" s="11" t="str">
        <f>IF(AND(ROW()-1&lt;=教室申込!$K$5,教室申込!$K$7=0,COUNTA(教室申込!$C$4)=1),INDEX(教室申込!$C$1:$C$212,$AW477),"")</f>
        <v/>
      </c>
      <c r="N477" s="11"/>
      <c r="O477" s="12" t="str">
        <f>IF(AND(ROW()-1&lt;=教室申込!$K$5,教室申込!$K$7=0,COUNTA(教室申込!$C$4)=1),INDEX(展開用!$G$2:$G$601,MATCH(ROW()-1,展開用!$E$2:$E$601,0)),"")</f>
        <v/>
      </c>
      <c r="P477" s="11"/>
      <c r="Q477" s="11"/>
      <c r="R477" s="11"/>
      <c r="S477" s="11"/>
      <c r="T477" s="11"/>
      <c r="U477" s="11" t="str">
        <f>IF(AND(ROW()-1&lt;=教室申込!$K$5,教室申込!$K$7=0,COUNTA(教室申込!$C$4)=1),INDEX(展開用!$F$2:$F$601,MATCH(ROW()-1,展開用!$E$2:$E$601,0)),"")</f>
        <v/>
      </c>
      <c r="V477" s="11"/>
      <c r="W477" s="11"/>
      <c r="X477" s="11"/>
      <c r="Y477" s="11"/>
      <c r="Z477" s="11"/>
      <c r="AA477" s="11" t="str">
        <f>IF($AW477="","",IF(INDEX(教室申込!$J$1:$J$212,$AW477)="","",INDEX(教室申込!$J$1:$J$212,$AW477)))</f>
        <v/>
      </c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" t="str">
        <f>IF(AND(ROW()-1&lt;=教室申込!$K$5,教室申込!$K$7=0,COUNTA(教室申込!$C$4)=1),INDEX(展開用!$B$2:$B$601,MATCH(ROW()-1,展開用!$E$2:$E$601,0)),"")</f>
        <v/>
      </c>
      <c r="AX477" s="1"/>
      <c r="AY477" s="1"/>
    </row>
    <row r="478" spans="1:51" ht="24" customHeight="1">
      <c r="A478" s="11"/>
      <c r="B478" s="11"/>
      <c r="C478" s="11"/>
      <c r="D478" s="11"/>
      <c r="E478" s="11"/>
      <c r="F478" s="11"/>
      <c r="G478" s="11"/>
      <c r="H478" s="11" t="str">
        <f>IF(AND(ROW()-1&lt;=教室申込!$K$5,教室申込!$K$7=0,COUNTA(教室申込!$C$4)=1),INDEX(展開用!$C$2:$C$601,MATCH(ROW()-1,展開用!$E$2:$E$601,0)),"")</f>
        <v/>
      </c>
      <c r="I478" s="11" t="str">
        <f>IF(AND(ROW()-1&lt;=教室申込!$K$5,教室申込!$K$7=0,COUNTA(教室申込!$C$4)=1),INDEX(展開用!$D$2:$D$601,MATCH(ROW()-1,展開用!$E$2:$E$601,0)),"")</f>
        <v/>
      </c>
      <c r="J478" s="11"/>
      <c r="K478" s="11"/>
      <c r="L478" s="11" t="str">
        <f>IF(AND(ROW()-1&lt;=教室申込!$K$5,教室申込!$K$7=0,COUNTA(教室申込!$C$4)=1),INDEX(教室申込!$B$1:$B$212,$AW478),"")</f>
        <v/>
      </c>
      <c r="M478" s="11" t="str">
        <f>IF(AND(ROW()-1&lt;=教室申込!$K$5,教室申込!$K$7=0,COUNTA(教室申込!$C$4)=1),INDEX(教室申込!$C$1:$C$212,$AW478),"")</f>
        <v/>
      </c>
      <c r="N478" s="11"/>
      <c r="O478" s="12" t="str">
        <f>IF(AND(ROW()-1&lt;=教室申込!$K$5,教室申込!$K$7=0,COUNTA(教室申込!$C$4)=1),INDEX(展開用!$G$2:$G$601,MATCH(ROW()-1,展開用!$E$2:$E$601,0)),"")</f>
        <v/>
      </c>
      <c r="P478" s="11"/>
      <c r="Q478" s="11"/>
      <c r="R478" s="11"/>
      <c r="S478" s="11"/>
      <c r="T478" s="11"/>
      <c r="U478" s="11" t="str">
        <f>IF(AND(ROW()-1&lt;=教室申込!$K$5,教室申込!$K$7=0,COUNTA(教室申込!$C$4)=1),INDEX(展開用!$F$2:$F$601,MATCH(ROW()-1,展開用!$E$2:$E$601,0)),"")</f>
        <v/>
      </c>
      <c r="V478" s="11"/>
      <c r="W478" s="11"/>
      <c r="X478" s="11"/>
      <c r="Y478" s="11"/>
      <c r="Z478" s="11"/>
      <c r="AA478" s="11" t="str">
        <f>IF($AW478="","",IF(INDEX(教室申込!$J$1:$J$212,$AW478)="","",INDEX(教室申込!$J$1:$J$212,$AW478)))</f>
        <v/>
      </c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" t="str">
        <f>IF(AND(ROW()-1&lt;=教室申込!$K$5,教室申込!$K$7=0,COUNTA(教室申込!$C$4)=1),INDEX(展開用!$B$2:$B$601,MATCH(ROW()-1,展開用!$E$2:$E$601,0)),"")</f>
        <v/>
      </c>
      <c r="AX478" s="1"/>
      <c r="AY478" s="1"/>
    </row>
    <row r="479" spans="1:51" ht="24" customHeight="1">
      <c r="A479" s="11"/>
      <c r="B479" s="11"/>
      <c r="C479" s="11"/>
      <c r="D479" s="11"/>
      <c r="E479" s="11"/>
      <c r="F479" s="11"/>
      <c r="G479" s="11"/>
      <c r="H479" s="11" t="str">
        <f>IF(AND(ROW()-1&lt;=教室申込!$K$5,教室申込!$K$7=0,COUNTA(教室申込!$C$4)=1),INDEX(展開用!$C$2:$C$601,MATCH(ROW()-1,展開用!$E$2:$E$601,0)),"")</f>
        <v/>
      </c>
      <c r="I479" s="11" t="str">
        <f>IF(AND(ROW()-1&lt;=教室申込!$K$5,教室申込!$K$7=0,COUNTA(教室申込!$C$4)=1),INDEX(展開用!$D$2:$D$601,MATCH(ROW()-1,展開用!$E$2:$E$601,0)),"")</f>
        <v/>
      </c>
      <c r="J479" s="11"/>
      <c r="K479" s="11"/>
      <c r="L479" s="11" t="str">
        <f>IF(AND(ROW()-1&lt;=教室申込!$K$5,教室申込!$K$7=0,COUNTA(教室申込!$C$4)=1),INDEX(教室申込!$B$1:$B$212,$AW479),"")</f>
        <v/>
      </c>
      <c r="M479" s="11" t="str">
        <f>IF(AND(ROW()-1&lt;=教室申込!$K$5,教室申込!$K$7=0,COUNTA(教室申込!$C$4)=1),INDEX(教室申込!$C$1:$C$212,$AW479),"")</f>
        <v/>
      </c>
      <c r="N479" s="11"/>
      <c r="O479" s="12" t="str">
        <f>IF(AND(ROW()-1&lt;=教室申込!$K$5,教室申込!$K$7=0,COUNTA(教室申込!$C$4)=1),INDEX(展開用!$G$2:$G$601,MATCH(ROW()-1,展開用!$E$2:$E$601,0)),"")</f>
        <v/>
      </c>
      <c r="P479" s="11"/>
      <c r="Q479" s="11"/>
      <c r="R479" s="11"/>
      <c r="S479" s="11"/>
      <c r="T479" s="11"/>
      <c r="U479" s="11" t="str">
        <f>IF(AND(ROW()-1&lt;=教室申込!$K$5,教室申込!$K$7=0,COUNTA(教室申込!$C$4)=1),INDEX(展開用!$F$2:$F$601,MATCH(ROW()-1,展開用!$E$2:$E$601,0)),"")</f>
        <v/>
      </c>
      <c r="V479" s="11"/>
      <c r="W479" s="11"/>
      <c r="X479" s="11"/>
      <c r="Y479" s="11"/>
      <c r="Z479" s="11"/>
      <c r="AA479" s="11" t="str">
        <f>IF($AW479="","",IF(INDEX(教室申込!$J$1:$J$212,$AW479)="","",INDEX(教室申込!$J$1:$J$212,$AW479)))</f>
        <v/>
      </c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" t="str">
        <f>IF(AND(ROW()-1&lt;=教室申込!$K$5,教室申込!$K$7=0,COUNTA(教室申込!$C$4)=1),INDEX(展開用!$B$2:$B$601,MATCH(ROW()-1,展開用!$E$2:$E$601,0)),"")</f>
        <v/>
      </c>
      <c r="AX479" s="1"/>
      <c r="AY479" s="1"/>
    </row>
    <row r="480" spans="1:51" ht="24" customHeight="1">
      <c r="A480" s="11"/>
      <c r="B480" s="11"/>
      <c r="C480" s="11"/>
      <c r="D480" s="11"/>
      <c r="E480" s="11"/>
      <c r="F480" s="11"/>
      <c r="G480" s="11"/>
      <c r="H480" s="11" t="str">
        <f>IF(AND(ROW()-1&lt;=教室申込!$K$5,教室申込!$K$7=0,COUNTA(教室申込!$C$4)=1),INDEX(展開用!$C$2:$C$601,MATCH(ROW()-1,展開用!$E$2:$E$601,0)),"")</f>
        <v/>
      </c>
      <c r="I480" s="11" t="str">
        <f>IF(AND(ROW()-1&lt;=教室申込!$K$5,教室申込!$K$7=0,COUNTA(教室申込!$C$4)=1),INDEX(展開用!$D$2:$D$601,MATCH(ROW()-1,展開用!$E$2:$E$601,0)),"")</f>
        <v/>
      </c>
      <c r="J480" s="11"/>
      <c r="K480" s="11"/>
      <c r="L480" s="11" t="str">
        <f>IF(AND(ROW()-1&lt;=教室申込!$K$5,教室申込!$K$7=0,COUNTA(教室申込!$C$4)=1),INDEX(教室申込!$B$1:$B$212,$AW480),"")</f>
        <v/>
      </c>
      <c r="M480" s="11" t="str">
        <f>IF(AND(ROW()-1&lt;=教室申込!$K$5,教室申込!$K$7=0,COUNTA(教室申込!$C$4)=1),INDEX(教室申込!$C$1:$C$212,$AW480),"")</f>
        <v/>
      </c>
      <c r="N480" s="11"/>
      <c r="O480" s="12" t="str">
        <f>IF(AND(ROW()-1&lt;=教室申込!$K$5,教室申込!$K$7=0,COUNTA(教室申込!$C$4)=1),INDEX(展開用!$G$2:$G$601,MATCH(ROW()-1,展開用!$E$2:$E$601,0)),"")</f>
        <v/>
      </c>
      <c r="P480" s="11"/>
      <c r="Q480" s="11"/>
      <c r="R480" s="11"/>
      <c r="S480" s="11"/>
      <c r="T480" s="11"/>
      <c r="U480" s="11" t="str">
        <f>IF(AND(ROW()-1&lt;=教室申込!$K$5,教室申込!$K$7=0,COUNTA(教室申込!$C$4)=1),INDEX(展開用!$F$2:$F$601,MATCH(ROW()-1,展開用!$E$2:$E$601,0)),"")</f>
        <v/>
      </c>
      <c r="V480" s="11"/>
      <c r="W480" s="11"/>
      <c r="X480" s="11"/>
      <c r="Y480" s="11"/>
      <c r="Z480" s="11"/>
      <c r="AA480" s="11" t="str">
        <f>IF($AW480="","",IF(INDEX(教室申込!$J$1:$J$212,$AW480)="","",INDEX(教室申込!$J$1:$J$212,$AW480)))</f>
        <v/>
      </c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" t="str">
        <f>IF(AND(ROW()-1&lt;=教室申込!$K$5,教室申込!$K$7=0,COUNTA(教室申込!$C$4)=1),INDEX(展開用!$B$2:$B$601,MATCH(ROW()-1,展開用!$E$2:$E$601,0)),"")</f>
        <v/>
      </c>
      <c r="AX480" s="1"/>
      <c r="AY480" s="1"/>
    </row>
    <row r="481" spans="1:51" ht="24" customHeight="1">
      <c r="A481" s="11"/>
      <c r="B481" s="11"/>
      <c r="C481" s="11"/>
      <c r="D481" s="11"/>
      <c r="E481" s="11"/>
      <c r="F481" s="11"/>
      <c r="G481" s="11"/>
      <c r="H481" s="11" t="str">
        <f>IF(AND(ROW()-1&lt;=教室申込!$K$5,教室申込!$K$7=0,COUNTA(教室申込!$C$4)=1),INDEX(展開用!$C$2:$C$601,MATCH(ROW()-1,展開用!$E$2:$E$601,0)),"")</f>
        <v/>
      </c>
      <c r="I481" s="11" t="str">
        <f>IF(AND(ROW()-1&lt;=教室申込!$K$5,教室申込!$K$7=0,COUNTA(教室申込!$C$4)=1),INDEX(展開用!$D$2:$D$601,MATCH(ROW()-1,展開用!$E$2:$E$601,0)),"")</f>
        <v/>
      </c>
      <c r="J481" s="11"/>
      <c r="K481" s="11"/>
      <c r="L481" s="11" t="str">
        <f>IF(AND(ROW()-1&lt;=教室申込!$K$5,教室申込!$K$7=0,COUNTA(教室申込!$C$4)=1),INDEX(教室申込!$B$1:$B$212,$AW481),"")</f>
        <v/>
      </c>
      <c r="M481" s="11" t="str">
        <f>IF(AND(ROW()-1&lt;=教室申込!$K$5,教室申込!$K$7=0,COUNTA(教室申込!$C$4)=1),INDEX(教室申込!$C$1:$C$212,$AW481),"")</f>
        <v/>
      </c>
      <c r="N481" s="11"/>
      <c r="O481" s="12" t="str">
        <f>IF(AND(ROW()-1&lt;=教室申込!$K$5,教室申込!$K$7=0,COUNTA(教室申込!$C$4)=1),INDEX(展開用!$G$2:$G$601,MATCH(ROW()-1,展開用!$E$2:$E$601,0)),"")</f>
        <v/>
      </c>
      <c r="P481" s="11"/>
      <c r="Q481" s="11"/>
      <c r="R481" s="11"/>
      <c r="S481" s="11"/>
      <c r="T481" s="11"/>
      <c r="U481" s="11" t="str">
        <f>IF(AND(ROW()-1&lt;=教室申込!$K$5,教室申込!$K$7=0,COUNTA(教室申込!$C$4)=1),INDEX(展開用!$F$2:$F$601,MATCH(ROW()-1,展開用!$E$2:$E$601,0)),"")</f>
        <v/>
      </c>
      <c r="V481" s="11"/>
      <c r="W481" s="11"/>
      <c r="X481" s="11"/>
      <c r="Y481" s="11"/>
      <c r="Z481" s="11"/>
      <c r="AA481" s="11" t="str">
        <f>IF($AW481="","",IF(INDEX(教室申込!$J$1:$J$212,$AW481)="","",INDEX(教室申込!$J$1:$J$212,$AW481)))</f>
        <v/>
      </c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" t="str">
        <f>IF(AND(ROW()-1&lt;=教室申込!$K$5,教室申込!$K$7=0,COUNTA(教室申込!$C$4)=1),INDEX(展開用!$B$2:$B$601,MATCH(ROW()-1,展開用!$E$2:$E$601,0)),"")</f>
        <v/>
      </c>
      <c r="AX481" s="1"/>
      <c r="AY481" s="1"/>
    </row>
    <row r="482" spans="1:51" ht="24" customHeight="1">
      <c r="A482" s="11"/>
      <c r="B482" s="11"/>
      <c r="C482" s="11"/>
      <c r="D482" s="11"/>
      <c r="E482" s="11"/>
      <c r="F482" s="11"/>
      <c r="G482" s="11"/>
      <c r="H482" s="11" t="str">
        <f>IF(AND(ROW()-1&lt;=教室申込!$K$5,教室申込!$K$7=0,COUNTA(教室申込!$C$4)=1),INDEX(展開用!$C$2:$C$601,MATCH(ROW()-1,展開用!$E$2:$E$601,0)),"")</f>
        <v/>
      </c>
      <c r="I482" s="11" t="str">
        <f>IF(AND(ROW()-1&lt;=教室申込!$K$5,教室申込!$K$7=0,COUNTA(教室申込!$C$4)=1),INDEX(展開用!$D$2:$D$601,MATCH(ROW()-1,展開用!$E$2:$E$601,0)),"")</f>
        <v/>
      </c>
      <c r="J482" s="11"/>
      <c r="K482" s="11"/>
      <c r="L482" s="11" t="str">
        <f>IF(AND(ROW()-1&lt;=教室申込!$K$5,教室申込!$K$7=0,COUNTA(教室申込!$C$4)=1),INDEX(教室申込!$B$1:$B$212,$AW482),"")</f>
        <v/>
      </c>
      <c r="M482" s="11" t="str">
        <f>IF(AND(ROW()-1&lt;=教室申込!$K$5,教室申込!$K$7=0,COUNTA(教室申込!$C$4)=1),INDEX(教室申込!$C$1:$C$212,$AW482),"")</f>
        <v/>
      </c>
      <c r="N482" s="11"/>
      <c r="O482" s="12" t="str">
        <f>IF(AND(ROW()-1&lt;=教室申込!$K$5,教室申込!$K$7=0,COUNTA(教室申込!$C$4)=1),INDEX(展開用!$G$2:$G$601,MATCH(ROW()-1,展開用!$E$2:$E$601,0)),"")</f>
        <v/>
      </c>
      <c r="P482" s="11"/>
      <c r="Q482" s="11"/>
      <c r="R482" s="11"/>
      <c r="S482" s="11"/>
      <c r="T482" s="11"/>
      <c r="U482" s="11" t="str">
        <f>IF(AND(ROW()-1&lt;=教室申込!$K$5,教室申込!$K$7=0,COUNTA(教室申込!$C$4)=1),INDEX(展開用!$F$2:$F$601,MATCH(ROW()-1,展開用!$E$2:$E$601,0)),"")</f>
        <v/>
      </c>
      <c r="V482" s="11"/>
      <c r="W482" s="11"/>
      <c r="X482" s="11"/>
      <c r="Y482" s="11"/>
      <c r="Z482" s="11"/>
      <c r="AA482" s="11" t="str">
        <f>IF($AW482="","",IF(INDEX(教室申込!$J$1:$J$212,$AW482)="","",INDEX(教室申込!$J$1:$J$212,$AW482)))</f>
        <v/>
      </c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" t="str">
        <f>IF(AND(ROW()-1&lt;=教室申込!$K$5,教室申込!$K$7=0,COUNTA(教室申込!$C$4)=1),INDEX(展開用!$B$2:$B$601,MATCH(ROW()-1,展開用!$E$2:$E$601,0)),"")</f>
        <v/>
      </c>
      <c r="AX482" s="1"/>
      <c r="AY482" s="1"/>
    </row>
    <row r="483" spans="1:51" ht="24" customHeight="1">
      <c r="A483" s="11"/>
      <c r="B483" s="11"/>
      <c r="C483" s="11"/>
      <c r="D483" s="11"/>
      <c r="E483" s="11"/>
      <c r="F483" s="11"/>
      <c r="G483" s="11"/>
      <c r="H483" s="11" t="str">
        <f>IF(AND(ROW()-1&lt;=教室申込!$K$5,教室申込!$K$7=0,COUNTA(教室申込!$C$4)=1),INDEX(展開用!$C$2:$C$601,MATCH(ROW()-1,展開用!$E$2:$E$601,0)),"")</f>
        <v/>
      </c>
      <c r="I483" s="11" t="str">
        <f>IF(AND(ROW()-1&lt;=教室申込!$K$5,教室申込!$K$7=0,COUNTA(教室申込!$C$4)=1),INDEX(展開用!$D$2:$D$601,MATCH(ROW()-1,展開用!$E$2:$E$601,0)),"")</f>
        <v/>
      </c>
      <c r="J483" s="11"/>
      <c r="K483" s="11"/>
      <c r="L483" s="11" t="str">
        <f>IF(AND(ROW()-1&lt;=教室申込!$K$5,教室申込!$K$7=0,COUNTA(教室申込!$C$4)=1),INDEX(教室申込!$B$1:$B$212,$AW483),"")</f>
        <v/>
      </c>
      <c r="M483" s="11" t="str">
        <f>IF(AND(ROW()-1&lt;=教室申込!$K$5,教室申込!$K$7=0,COUNTA(教室申込!$C$4)=1),INDEX(教室申込!$C$1:$C$212,$AW483),"")</f>
        <v/>
      </c>
      <c r="N483" s="11"/>
      <c r="O483" s="12" t="str">
        <f>IF(AND(ROW()-1&lt;=教室申込!$K$5,教室申込!$K$7=0,COUNTA(教室申込!$C$4)=1),INDEX(展開用!$G$2:$G$601,MATCH(ROW()-1,展開用!$E$2:$E$601,0)),"")</f>
        <v/>
      </c>
      <c r="P483" s="11"/>
      <c r="Q483" s="11"/>
      <c r="R483" s="11"/>
      <c r="S483" s="11"/>
      <c r="T483" s="11"/>
      <c r="U483" s="11" t="str">
        <f>IF(AND(ROW()-1&lt;=教室申込!$K$5,教室申込!$K$7=0,COUNTA(教室申込!$C$4)=1),INDEX(展開用!$F$2:$F$601,MATCH(ROW()-1,展開用!$E$2:$E$601,0)),"")</f>
        <v/>
      </c>
      <c r="V483" s="11"/>
      <c r="W483" s="11"/>
      <c r="X483" s="11"/>
      <c r="Y483" s="11"/>
      <c r="Z483" s="11"/>
      <c r="AA483" s="11" t="str">
        <f>IF($AW483="","",IF(INDEX(教室申込!$J$1:$J$212,$AW483)="","",INDEX(教室申込!$J$1:$J$212,$AW483)))</f>
        <v/>
      </c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" t="str">
        <f>IF(AND(ROW()-1&lt;=教室申込!$K$5,教室申込!$K$7=0,COUNTA(教室申込!$C$4)=1),INDEX(展開用!$B$2:$B$601,MATCH(ROW()-1,展開用!$E$2:$E$601,0)),"")</f>
        <v/>
      </c>
      <c r="AX483" s="1"/>
      <c r="AY483" s="1"/>
    </row>
    <row r="484" spans="1:51" ht="24" customHeight="1">
      <c r="A484" s="11"/>
      <c r="B484" s="11"/>
      <c r="C484" s="11"/>
      <c r="D484" s="11"/>
      <c r="E484" s="11"/>
      <c r="F484" s="11"/>
      <c r="G484" s="11"/>
      <c r="H484" s="11" t="str">
        <f>IF(AND(ROW()-1&lt;=教室申込!$K$5,教室申込!$K$7=0,COUNTA(教室申込!$C$4)=1),INDEX(展開用!$C$2:$C$601,MATCH(ROW()-1,展開用!$E$2:$E$601,0)),"")</f>
        <v/>
      </c>
      <c r="I484" s="11" t="str">
        <f>IF(AND(ROW()-1&lt;=教室申込!$K$5,教室申込!$K$7=0,COUNTA(教室申込!$C$4)=1),INDEX(展開用!$D$2:$D$601,MATCH(ROW()-1,展開用!$E$2:$E$601,0)),"")</f>
        <v/>
      </c>
      <c r="J484" s="11"/>
      <c r="K484" s="11"/>
      <c r="L484" s="11" t="str">
        <f>IF(AND(ROW()-1&lt;=教室申込!$K$5,教室申込!$K$7=0,COUNTA(教室申込!$C$4)=1),INDEX(教室申込!$B$1:$B$212,$AW484),"")</f>
        <v/>
      </c>
      <c r="M484" s="11" t="str">
        <f>IF(AND(ROW()-1&lt;=教室申込!$K$5,教室申込!$K$7=0,COUNTA(教室申込!$C$4)=1),INDEX(教室申込!$C$1:$C$212,$AW484),"")</f>
        <v/>
      </c>
      <c r="N484" s="11"/>
      <c r="O484" s="12" t="str">
        <f>IF(AND(ROW()-1&lt;=教室申込!$K$5,教室申込!$K$7=0,COUNTA(教室申込!$C$4)=1),INDEX(展開用!$G$2:$G$601,MATCH(ROW()-1,展開用!$E$2:$E$601,0)),"")</f>
        <v/>
      </c>
      <c r="P484" s="11"/>
      <c r="Q484" s="11"/>
      <c r="R484" s="11"/>
      <c r="S484" s="11"/>
      <c r="T484" s="11"/>
      <c r="U484" s="11" t="str">
        <f>IF(AND(ROW()-1&lt;=教室申込!$K$5,教室申込!$K$7=0,COUNTA(教室申込!$C$4)=1),INDEX(展開用!$F$2:$F$601,MATCH(ROW()-1,展開用!$E$2:$E$601,0)),"")</f>
        <v/>
      </c>
      <c r="V484" s="11"/>
      <c r="W484" s="11"/>
      <c r="X484" s="11"/>
      <c r="Y484" s="11"/>
      <c r="Z484" s="11"/>
      <c r="AA484" s="11" t="str">
        <f>IF($AW484="","",IF(INDEX(教室申込!$J$1:$J$212,$AW484)="","",INDEX(教室申込!$J$1:$J$212,$AW484)))</f>
        <v/>
      </c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" t="str">
        <f>IF(AND(ROW()-1&lt;=教室申込!$K$5,教室申込!$K$7=0,COUNTA(教室申込!$C$4)=1),INDEX(展開用!$B$2:$B$601,MATCH(ROW()-1,展開用!$E$2:$E$601,0)),"")</f>
        <v/>
      </c>
      <c r="AX484" s="1"/>
      <c r="AY484" s="1"/>
    </row>
    <row r="485" spans="1:51" ht="24" customHeight="1">
      <c r="A485" s="11"/>
      <c r="B485" s="11"/>
      <c r="C485" s="11"/>
      <c r="D485" s="11"/>
      <c r="E485" s="11"/>
      <c r="F485" s="11"/>
      <c r="G485" s="11"/>
      <c r="H485" s="11" t="str">
        <f>IF(AND(ROW()-1&lt;=教室申込!$K$5,教室申込!$K$7=0,COUNTA(教室申込!$C$4)=1),INDEX(展開用!$C$2:$C$601,MATCH(ROW()-1,展開用!$E$2:$E$601,0)),"")</f>
        <v/>
      </c>
      <c r="I485" s="11" t="str">
        <f>IF(AND(ROW()-1&lt;=教室申込!$K$5,教室申込!$K$7=0,COUNTA(教室申込!$C$4)=1),INDEX(展開用!$D$2:$D$601,MATCH(ROW()-1,展開用!$E$2:$E$601,0)),"")</f>
        <v/>
      </c>
      <c r="J485" s="11"/>
      <c r="K485" s="11"/>
      <c r="L485" s="11" t="str">
        <f>IF(AND(ROW()-1&lt;=教室申込!$K$5,教室申込!$K$7=0,COUNTA(教室申込!$C$4)=1),INDEX(教室申込!$B$1:$B$212,$AW485),"")</f>
        <v/>
      </c>
      <c r="M485" s="11" t="str">
        <f>IF(AND(ROW()-1&lt;=教室申込!$K$5,教室申込!$K$7=0,COUNTA(教室申込!$C$4)=1),INDEX(教室申込!$C$1:$C$212,$AW485),"")</f>
        <v/>
      </c>
      <c r="N485" s="11"/>
      <c r="O485" s="12" t="str">
        <f>IF(AND(ROW()-1&lt;=教室申込!$K$5,教室申込!$K$7=0,COUNTA(教室申込!$C$4)=1),INDEX(展開用!$G$2:$G$601,MATCH(ROW()-1,展開用!$E$2:$E$601,0)),"")</f>
        <v/>
      </c>
      <c r="P485" s="11"/>
      <c r="Q485" s="11"/>
      <c r="R485" s="11"/>
      <c r="S485" s="11"/>
      <c r="T485" s="11"/>
      <c r="U485" s="11" t="str">
        <f>IF(AND(ROW()-1&lt;=教室申込!$K$5,教室申込!$K$7=0,COUNTA(教室申込!$C$4)=1),INDEX(展開用!$F$2:$F$601,MATCH(ROW()-1,展開用!$E$2:$E$601,0)),"")</f>
        <v/>
      </c>
      <c r="V485" s="11"/>
      <c r="W485" s="11"/>
      <c r="X485" s="11"/>
      <c r="Y485" s="11"/>
      <c r="Z485" s="11"/>
      <c r="AA485" s="11" t="str">
        <f>IF($AW485="","",IF(INDEX(教室申込!$J$1:$J$212,$AW485)="","",INDEX(教室申込!$J$1:$J$212,$AW485)))</f>
        <v/>
      </c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" t="str">
        <f>IF(AND(ROW()-1&lt;=教室申込!$K$5,教室申込!$K$7=0,COUNTA(教室申込!$C$4)=1),INDEX(展開用!$B$2:$B$601,MATCH(ROW()-1,展開用!$E$2:$E$601,0)),"")</f>
        <v/>
      </c>
      <c r="AX485" s="1"/>
      <c r="AY485" s="1"/>
    </row>
    <row r="486" spans="1:51" ht="24" customHeight="1">
      <c r="A486" s="11"/>
      <c r="B486" s="11"/>
      <c r="C486" s="11"/>
      <c r="D486" s="11"/>
      <c r="E486" s="11"/>
      <c r="F486" s="11"/>
      <c r="G486" s="11"/>
      <c r="H486" s="11" t="str">
        <f>IF(AND(ROW()-1&lt;=教室申込!$K$5,教室申込!$K$7=0,COUNTA(教室申込!$C$4)=1),INDEX(展開用!$C$2:$C$601,MATCH(ROW()-1,展開用!$E$2:$E$601,0)),"")</f>
        <v/>
      </c>
      <c r="I486" s="11" t="str">
        <f>IF(AND(ROW()-1&lt;=教室申込!$K$5,教室申込!$K$7=0,COUNTA(教室申込!$C$4)=1),INDEX(展開用!$D$2:$D$601,MATCH(ROW()-1,展開用!$E$2:$E$601,0)),"")</f>
        <v/>
      </c>
      <c r="J486" s="11"/>
      <c r="K486" s="11"/>
      <c r="L486" s="11" t="str">
        <f>IF(AND(ROW()-1&lt;=教室申込!$K$5,教室申込!$K$7=0,COUNTA(教室申込!$C$4)=1),INDEX(教室申込!$B$1:$B$212,$AW486),"")</f>
        <v/>
      </c>
      <c r="M486" s="11" t="str">
        <f>IF(AND(ROW()-1&lt;=教室申込!$K$5,教室申込!$K$7=0,COUNTA(教室申込!$C$4)=1),INDEX(教室申込!$C$1:$C$212,$AW486),"")</f>
        <v/>
      </c>
      <c r="N486" s="11"/>
      <c r="O486" s="12" t="str">
        <f>IF(AND(ROW()-1&lt;=教室申込!$K$5,教室申込!$K$7=0,COUNTA(教室申込!$C$4)=1),INDEX(展開用!$G$2:$G$601,MATCH(ROW()-1,展開用!$E$2:$E$601,0)),"")</f>
        <v/>
      </c>
      <c r="P486" s="11"/>
      <c r="Q486" s="11"/>
      <c r="R486" s="11"/>
      <c r="S486" s="11"/>
      <c r="T486" s="11"/>
      <c r="U486" s="11" t="str">
        <f>IF(AND(ROW()-1&lt;=教室申込!$K$5,教室申込!$K$7=0,COUNTA(教室申込!$C$4)=1),INDEX(展開用!$F$2:$F$601,MATCH(ROW()-1,展開用!$E$2:$E$601,0)),"")</f>
        <v/>
      </c>
      <c r="V486" s="11"/>
      <c r="W486" s="11"/>
      <c r="X486" s="11"/>
      <c r="Y486" s="11"/>
      <c r="Z486" s="11"/>
      <c r="AA486" s="11" t="str">
        <f>IF($AW486="","",IF(INDEX(教室申込!$J$1:$J$212,$AW486)="","",INDEX(教室申込!$J$1:$J$212,$AW486)))</f>
        <v/>
      </c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" t="str">
        <f>IF(AND(ROW()-1&lt;=教室申込!$K$5,教室申込!$K$7=0,COUNTA(教室申込!$C$4)=1),INDEX(展開用!$B$2:$B$601,MATCH(ROW()-1,展開用!$E$2:$E$601,0)),"")</f>
        <v/>
      </c>
      <c r="AX486" s="1"/>
      <c r="AY486" s="1"/>
    </row>
    <row r="487" spans="1:51" ht="24" customHeight="1">
      <c r="A487" s="11"/>
      <c r="B487" s="11"/>
      <c r="C487" s="11"/>
      <c r="D487" s="11"/>
      <c r="E487" s="11"/>
      <c r="F487" s="11"/>
      <c r="G487" s="11"/>
      <c r="H487" s="11" t="str">
        <f>IF(AND(ROW()-1&lt;=教室申込!$K$5,教室申込!$K$7=0,COUNTA(教室申込!$C$4)=1),INDEX(展開用!$C$2:$C$601,MATCH(ROW()-1,展開用!$E$2:$E$601,0)),"")</f>
        <v/>
      </c>
      <c r="I487" s="11" t="str">
        <f>IF(AND(ROW()-1&lt;=教室申込!$K$5,教室申込!$K$7=0,COUNTA(教室申込!$C$4)=1),INDEX(展開用!$D$2:$D$601,MATCH(ROW()-1,展開用!$E$2:$E$601,0)),"")</f>
        <v/>
      </c>
      <c r="J487" s="11"/>
      <c r="K487" s="11"/>
      <c r="L487" s="11" t="str">
        <f>IF(AND(ROW()-1&lt;=教室申込!$K$5,教室申込!$K$7=0,COUNTA(教室申込!$C$4)=1),INDEX(教室申込!$B$1:$B$212,$AW487),"")</f>
        <v/>
      </c>
      <c r="M487" s="11" t="str">
        <f>IF(AND(ROW()-1&lt;=教室申込!$K$5,教室申込!$K$7=0,COUNTA(教室申込!$C$4)=1),INDEX(教室申込!$C$1:$C$212,$AW487),"")</f>
        <v/>
      </c>
      <c r="N487" s="11"/>
      <c r="O487" s="12" t="str">
        <f>IF(AND(ROW()-1&lt;=教室申込!$K$5,教室申込!$K$7=0,COUNTA(教室申込!$C$4)=1),INDEX(展開用!$G$2:$G$601,MATCH(ROW()-1,展開用!$E$2:$E$601,0)),"")</f>
        <v/>
      </c>
      <c r="P487" s="11"/>
      <c r="Q487" s="11"/>
      <c r="R487" s="11"/>
      <c r="S487" s="11"/>
      <c r="T487" s="11"/>
      <c r="U487" s="11" t="str">
        <f>IF(AND(ROW()-1&lt;=教室申込!$K$5,教室申込!$K$7=0,COUNTA(教室申込!$C$4)=1),INDEX(展開用!$F$2:$F$601,MATCH(ROW()-1,展開用!$E$2:$E$601,0)),"")</f>
        <v/>
      </c>
      <c r="V487" s="11"/>
      <c r="W487" s="11"/>
      <c r="X487" s="11"/>
      <c r="Y487" s="11"/>
      <c r="Z487" s="11"/>
      <c r="AA487" s="11" t="str">
        <f>IF($AW487="","",IF(INDEX(教室申込!$J$1:$J$212,$AW487)="","",INDEX(教室申込!$J$1:$J$212,$AW487)))</f>
        <v/>
      </c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" t="str">
        <f>IF(AND(ROW()-1&lt;=教室申込!$K$5,教室申込!$K$7=0,COUNTA(教室申込!$C$4)=1),INDEX(展開用!$B$2:$B$601,MATCH(ROW()-1,展開用!$E$2:$E$601,0)),"")</f>
        <v/>
      </c>
      <c r="AX487" s="1"/>
      <c r="AY487" s="1"/>
    </row>
    <row r="488" spans="1:51" ht="24" customHeight="1">
      <c r="A488" s="11"/>
      <c r="B488" s="11"/>
      <c r="C488" s="11"/>
      <c r="D488" s="11"/>
      <c r="E488" s="11"/>
      <c r="F488" s="11"/>
      <c r="G488" s="11"/>
      <c r="H488" s="11" t="str">
        <f>IF(AND(ROW()-1&lt;=教室申込!$K$5,教室申込!$K$7=0,COUNTA(教室申込!$C$4)=1),INDEX(展開用!$C$2:$C$601,MATCH(ROW()-1,展開用!$E$2:$E$601,0)),"")</f>
        <v/>
      </c>
      <c r="I488" s="11" t="str">
        <f>IF(AND(ROW()-1&lt;=教室申込!$K$5,教室申込!$K$7=0,COUNTA(教室申込!$C$4)=1),INDEX(展開用!$D$2:$D$601,MATCH(ROW()-1,展開用!$E$2:$E$601,0)),"")</f>
        <v/>
      </c>
      <c r="J488" s="11"/>
      <c r="K488" s="11"/>
      <c r="L488" s="11" t="str">
        <f>IF(AND(ROW()-1&lt;=教室申込!$K$5,教室申込!$K$7=0,COUNTA(教室申込!$C$4)=1),INDEX(教室申込!$B$1:$B$212,$AW488),"")</f>
        <v/>
      </c>
      <c r="M488" s="11" t="str">
        <f>IF(AND(ROW()-1&lt;=教室申込!$K$5,教室申込!$K$7=0,COUNTA(教室申込!$C$4)=1),INDEX(教室申込!$C$1:$C$212,$AW488),"")</f>
        <v/>
      </c>
      <c r="N488" s="11"/>
      <c r="O488" s="12" t="str">
        <f>IF(AND(ROW()-1&lt;=教室申込!$K$5,教室申込!$K$7=0,COUNTA(教室申込!$C$4)=1),INDEX(展開用!$G$2:$G$601,MATCH(ROW()-1,展開用!$E$2:$E$601,0)),"")</f>
        <v/>
      </c>
      <c r="P488" s="11"/>
      <c r="Q488" s="11"/>
      <c r="R488" s="11"/>
      <c r="S488" s="11"/>
      <c r="T488" s="11"/>
      <c r="U488" s="11" t="str">
        <f>IF(AND(ROW()-1&lt;=教室申込!$K$5,教室申込!$K$7=0,COUNTA(教室申込!$C$4)=1),INDEX(展開用!$F$2:$F$601,MATCH(ROW()-1,展開用!$E$2:$E$601,0)),"")</f>
        <v/>
      </c>
      <c r="V488" s="11"/>
      <c r="W488" s="11"/>
      <c r="X488" s="11"/>
      <c r="Y488" s="11"/>
      <c r="Z488" s="11"/>
      <c r="AA488" s="11" t="str">
        <f>IF($AW488="","",IF(INDEX(教室申込!$J$1:$J$212,$AW488)="","",INDEX(教室申込!$J$1:$J$212,$AW488)))</f>
        <v/>
      </c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" t="str">
        <f>IF(AND(ROW()-1&lt;=教室申込!$K$5,教室申込!$K$7=0,COUNTA(教室申込!$C$4)=1),INDEX(展開用!$B$2:$B$601,MATCH(ROW()-1,展開用!$E$2:$E$601,0)),"")</f>
        <v/>
      </c>
      <c r="AX488" s="1"/>
      <c r="AY488" s="1"/>
    </row>
    <row r="489" spans="1:51" ht="24" customHeight="1">
      <c r="A489" s="11"/>
      <c r="B489" s="11"/>
      <c r="C489" s="11"/>
      <c r="D489" s="11"/>
      <c r="E489" s="11"/>
      <c r="F489" s="11"/>
      <c r="G489" s="11"/>
      <c r="H489" s="11" t="str">
        <f>IF(AND(ROW()-1&lt;=教室申込!$K$5,教室申込!$K$7=0,COUNTA(教室申込!$C$4)=1),INDEX(展開用!$C$2:$C$601,MATCH(ROW()-1,展開用!$E$2:$E$601,0)),"")</f>
        <v/>
      </c>
      <c r="I489" s="11" t="str">
        <f>IF(AND(ROW()-1&lt;=教室申込!$K$5,教室申込!$K$7=0,COUNTA(教室申込!$C$4)=1),INDEX(展開用!$D$2:$D$601,MATCH(ROW()-1,展開用!$E$2:$E$601,0)),"")</f>
        <v/>
      </c>
      <c r="J489" s="11"/>
      <c r="K489" s="11"/>
      <c r="L489" s="11" t="str">
        <f>IF(AND(ROW()-1&lt;=教室申込!$K$5,教室申込!$K$7=0,COUNTA(教室申込!$C$4)=1),INDEX(教室申込!$B$1:$B$212,$AW489),"")</f>
        <v/>
      </c>
      <c r="M489" s="11" t="str">
        <f>IF(AND(ROW()-1&lt;=教室申込!$K$5,教室申込!$K$7=0,COUNTA(教室申込!$C$4)=1),INDEX(教室申込!$C$1:$C$212,$AW489),"")</f>
        <v/>
      </c>
      <c r="N489" s="11"/>
      <c r="O489" s="12" t="str">
        <f>IF(AND(ROW()-1&lt;=教室申込!$K$5,教室申込!$K$7=0,COUNTA(教室申込!$C$4)=1),INDEX(展開用!$G$2:$G$601,MATCH(ROW()-1,展開用!$E$2:$E$601,0)),"")</f>
        <v/>
      </c>
      <c r="P489" s="11"/>
      <c r="Q489" s="11"/>
      <c r="R489" s="11"/>
      <c r="S489" s="11"/>
      <c r="T489" s="11"/>
      <c r="U489" s="11" t="str">
        <f>IF(AND(ROW()-1&lt;=教室申込!$K$5,教室申込!$K$7=0,COUNTA(教室申込!$C$4)=1),INDEX(展開用!$F$2:$F$601,MATCH(ROW()-1,展開用!$E$2:$E$601,0)),"")</f>
        <v/>
      </c>
      <c r="V489" s="11"/>
      <c r="W489" s="11"/>
      <c r="X489" s="11"/>
      <c r="Y489" s="11"/>
      <c r="Z489" s="11"/>
      <c r="AA489" s="11" t="str">
        <f>IF($AW489="","",IF(INDEX(教室申込!$J$1:$J$212,$AW489)="","",INDEX(教室申込!$J$1:$J$212,$AW489)))</f>
        <v/>
      </c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" t="str">
        <f>IF(AND(ROW()-1&lt;=教室申込!$K$5,教室申込!$K$7=0,COUNTA(教室申込!$C$4)=1),INDEX(展開用!$B$2:$B$601,MATCH(ROW()-1,展開用!$E$2:$E$601,0)),"")</f>
        <v/>
      </c>
      <c r="AX489" s="1"/>
      <c r="AY489" s="1"/>
    </row>
    <row r="490" spans="1:51" ht="24" customHeight="1">
      <c r="A490" s="11"/>
      <c r="B490" s="11"/>
      <c r="C490" s="11"/>
      <c r="D490" s="11"/>
      <c r="E490" s="11"/>
      <c r="F490" s="11"/>
      <c r="G490" s="11"/>
      <c r="H490" s="11" t="str">
        <f>IF(AND(ROW()-1&lt;=教室申込!$K$5,教室申込!$K$7=0,COUNTA(教室申込!$C$4)=1),INDEX(展開用!$C$2:$C$601,MATCH(ROW()-1,展開用!$E$2:$E$601,0)),"")</f>
        <v/>
      </c>
      <c r="I490" s="11" t="str">
        <f>IF(AND(ROW()-1&lt;=教室申込!$K$5,教室申込!$K$7=0,COUNTA(教室申込!$C$4)=1),INDEX(展開用!$D$2:$D$601,MATCH(ROW()-1,展開用!$E$2:$E$601,0)),"")</f>
        <v/>
      </c>
      <c r="J490" s="11"/>
      <c r="K490" s="11"/>
      <c r="L490" s="11" t="str">
        <f>IF(AND(ROW()-1&lt;=教室申込!$K$5,教室申込!$K$7=0,COUNTA(教室申込!$C$4)=1),INDEX(教室申込!$B$1:$B$212,$AW490),"")</f>
        <v/>
      </c>
      <c r="M490" s="11" t="str">
        <f>IF(AND(ROW()-1&lt;=教室申込!$K$5,教室申込!$K$7=0,COUNTA(教室申込!$C$4)=1),INDEX(教室申込!$C$1:$C$212,$AW490),"")</f>
        <v/>
      </c>
      <c r="N490" s="11"/>
      <c r="O490" s="12" t="str">
        <f>IF(AND(ROW()-1&lt;=教室申込!$K$5,教室申込!$K$7=0,COUNTA(教室申込!$C$4)=1),INDEX(展開用!$G$2:$G$601,MATCH(ROW()-1,展開用!$E$2:$E$601,0)),"")</f>
        <v/>
      </c>
      <c r="P490" s="11"/>
      <c r="Q490" s="11"/>
      <c r="R490" s="11"/>
      <c r="S490" s="11"/>
      <c r="T490" s="11"/>
      <c r="U490" s="11" t="str">
        <f>IF(AND(ROW()-1&lt;=教室申込!$K$5,教室申込!$K$7=0,COUNTA(教室申込!$C$4)=1),INDEX(展開用!$F$2:$F$601,MATCH(ROW()-1,展開用!$E$2:$E$601,0)),"")</f>
        <v/>
      </c>
      <c r="V490" s="11"/>
      <c r="W490" s="11"/>
      <c r="X490" s="11"/>
      <c r="Y490" s="11"/>
      <c r="Z490" s="11"/>
      <c r="AA490" s="11" t="str">
        <f>IF($AW490="","",IF(INDEX(教室申込!$J$1:$J$212,$AW490)="","",INDEX(教室申込!$J$1:$J$212,$AW490)))</f>
        <v/>
      </c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" t="str">
        <f>IF(AND(ROW()-1&lt;=教室申込!$K$5,教室申込!$K$7=0,COUNTA(教室申込!$C$4)=1),INDEX(展開用!$B$2:$B$601,MATCH(ROW()-1,展開用!$E$2:$E$601,0)),"")</f>
        <v/>
      </c>
      <c r="AX490" s="1"/>
      <c r="AY490" s="1"/>
    </row>
    <row r="491" spans="1:51" ht="24" customHeight="1">
      <c r="A491" s="11"/>
      <c r="B491" s="11"/>
      <c r="C491" s="11"/>
      <c r="D491" s="11"/>
      <c r="E491" s="11"/>
      <c r="F491" s="11"/>
      <c r="G491" s="11"/>
      <c r="H491" s="11" t="str">
        <f>IF(AND(ROW()-1&lt;=教室申込!$K$5,教室申込!$K$7=0,COUNTA(教室申込!$C$4)=1),INDEX(展開用!$C$2:$C$601,MATCH(ROW()-1,展開用!$E$2:$E$601,0)),"")</f>
        <v/>
      </c>
      <c r="I491" s="11" t="str">
        <f>IF(AND(ROW()-1&lt;=教室申込!$K$5,教室申込!$K$7=0,COUNTA(教室申込!$C$4)=1),INDEX(展開用!$D$2:$D$601,MATCH(ROW()-1,展開用!$E$2:$E$601,0)),"")</f>
        <v/>
      </c>
      <c r="J491" s="11"/>
      <c r="K491" s="11"/>
      <c r="L491" s="11" t="str">
        <f>IF(AND(ROW()-1&lt;=教室申込!$K$5,教室申込!$K$7=0,COUNTA(教室申込!$C$4)=1),INDEX(教室申込!$B$1:$B$212,$AW491),"")</f>
        <v/>
      </c>
      <c r="M491" s="11" t="str">
        <f>IF(AND(ROW()-1&lt;=教室申込!$K$5,教室申込!$K$7=0,COUNTA(教室申込!$C$4)=1),INDEX(教室申込!$C$1:$C$212,$AW491),"")</f>
        <v/>
      </c>
      <c r="N491" s="11"/>
      <c r="O491" s="12" t="str">
        <f>IF(AND(ROW()-1&lt;=教室申込!$K$5,教室申込!$K$7=0,COUNTA(教室申込!$C$4)=1),INDEX(展開用!$G$2:$G$601,MATCH(ROW()-1,展開用!$E$2:$E$601,0)),"")</f>
        <v/>
      </c>
      <c r="P491" s="11"/>
      <c r="Q491" s="11"/>
      <c r="R491" s="11"/>
      <c r="S491" s="11"/>
      <c r="T491" s="11"/>
      <c r="U491" s="11" t="str">
        <f>IF(AND(ROW()-1&lt;=教室申込!$K$5,教室申込!$K$7=0,COUNTA(教室申込!$C$4)=1),INDEX(展開用!$F$2:$F$601,MATCH(ROW()-1,展開用!$E$2:$E$601,0)),"")</f>
        <v/>
      </c>
      <c r="V491" s="11"/>
      <c r="W491" s="11"/>
      <c r="X491" s="11"/>
      <c r="Y491" s="11"/>
      <c r="Z491" s="11"/>
      <c r="AA491" s="11" t="str">
        <f>IF($AW491="","",IF(INDEX(教室申込!$J$1:$J$212,$AW491)="","",INDEX(教室申込!$J$1:$J$212,$AW491)))</f>
        <v/>
      </c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" t="str">
        <f>IF(AND(ROW()-1&lt;=教室申込!$K$5,教室申込!$K$7=0,COUNTA(教室申込!$C$4)=1),INDEX(展開用!$B$2:$B$601,MATCH(ROW()-1,展開用!$E$2:$E$601,0)),"")</f>
        <v/>
      </c>
      <c r="AX491" s="1"/>
      <c r="AY491" s="1"/>
    </row>
    <row r="492" spans="1:51" ht="24" customHeight="1">
      <c r="A492" s="11"/>
      <c r="B492" s="11"/>
      <c r="C492" s="11"/>
      <c r="D492" s="11"/>
      <c r="E492" s="11"/>
      <c r="F492" s="11"/>
      <c r="G492" s="11"/>
      <c r="H492" s="11" t="str">
        <f>IF(AND(ROW()-1&lt;=教室申込!$K$5,教室申込!$K$7=0,COUNTA(教室申込!$C$4)=1),INDEX(展開用!$C$2:$C$601,MATCH(ROW()-1,展開用!$E$2:$E$601,0)),"")</f>
        <v/>
      </c>
      <c r="I492" s="11" t="str">
        <f>IF(AND(ROW()-1&lt;=教室申込!$K$5,教室申込!$K$7=0,COUNTA(教室申込!$C$4)=1),INDEX(展開用!$D$2:$D$601,MATCH(ROW()-1,展開用!$E$2:$E$601,0)),"")</f>
        <v/>
      </c>
      <c r="J492" s="11"/>
      <c r="K492" s="11"/>
      <c r="L492" s="11" t="str">
        <f>IF(AND(ROW()-1&lt;=教室申込!$K$5,教室申込!$K$7=0,COUNTA(教室申込!$C$4)=1),INDEX(教室申込!$B$1:$B$212,$AW492),"")</f>
        <v/>
      </c>
      <c r="M492" s="11" t="str">
        <f>IF(AND(ROW()-1&lt;=教室申込!$K$5,教室申込!$K$7=0,COUNTA(教室申込!$C$4)=1),INDEX(教室申込!$C$1:$C$212,$AW492),"")</f>
        <v/>
      </c>
      <c r="N492" s="11"/>
      <c r="O492" s="12" t="str">
        <f>IF(AND(ROW()-1&lt;=教室申込!$K$5,教室申込!$K$7=0,COUNTA(教室申込!$C$4)=1),INDEX(展開用!$G$2:$G$601,MATCH(ROW()-1,展開用!$E$2:$E$601,0)),"")</f>
        <v/>
      </c>
      <c r="P492" s="11"/>
      <c r="Q492" s="11"/>
      <c r="R492" s="11"/>
      <c r="S492" s="11"/>
      <c r="T492" s="11"/>
      <c r="U492" s="11" t="str">
        <f>IF(AND(ROW()-1&lt;=教室申込!$K$5,教室申込!$K$7=0,COUNTA(教室申込!$C$4)=1),INDEX(展開用!$F$2:$F$601,MATCH(ROW()-1,展開用!$E$2:$E$601,0)),"")</f>
        <v/>
      </c>
      <c r="V492" s="11"/>
      <c r="W492" s="11"/>
      <c r="X492" s="11"/>
      <c r="Y492" s="11"/>
      <c r="Z492" s="11"/>
      <c r="AA492" s="11" t="str">
        <f>IF($AW492="","",IF(INDEX(教室申込!$J$1:$J$212,$AW492)="","",INDEX(教室申込!$J$1:$J$212,$AW492)))</f>
        <v/>
      </c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" t="str">
        <f>IF(AND(ROW()-1&lt;=教室申込!$K$5,教室申込!$K$7=0,COUNTA(教室申込!$C$4)=1),INDEX(展開用!$B$2:$B$601,MATCH(ROW()-1,展開用!$E$2:$E$601,0)),"")</f>
        <v/>
      </c>
      <c r="AX492" s="1"/>
      <c r="AY492" s="1"/>
    </row>
    <row r="493" spans="1:51" ht="24" customHeight="1">
      <c r="A493" s="11"/>
      <c r="B493" s="11"/>
      <c r="C493" s="11"/>
      <c r="D493" s="11"/>
      <c r="E493" s="11"/>
      <c r="F493" s="11"/>
      <c r="G493" s="11"/>
      <c r="H493" s="11" t="str">
        <f>IF(AND(ROW()-1&lt;=教室申込!$K$5,教室申込!$K$7=0,COUNTA(教室申込!$C$4)=1),INDEX(展開用!$C$2:$C$601,MATCH(ROW()-1,展開用!$E$2:$E$601,0)),"")</f>
        <v/>
      </c>
      <c r="I493" s="11" t="str">
        <f>IF(AND(ROW()-1&lt;=教室申込!$K$5,教室申込!$K$7=0,COUNTA(教室申込!$C$4)=1),INDEX(展開用!$D$2:$D$601,MATCH(ROW()-1,展開用!$E$2:$E$601,0)),"")</f>
        <v/>
      </c>
      <c r="J493" s="11"/>
      <c r="K493" s="11"/>
      <c r="L493" s="11" t="str">
        <f>IF(AND(ROW()-1&lt;=教室申込!$K$5,教室申込!$K$7=0,COUNTA(教室申込!$C$4)=1),INDEX(教室申込!$B$1:$B$212,$AW493),"")</f>
        <v/>
      </c>
      <c r="M493" s="11" t="str">
        <f>IF(AND(ROW()-1&lt;=教室申込!$K$5,教室申込!$K$7=0,COUNTA(教室申込!$C$4)=1),INDEX(教室申込!$C$1:$C$212,$AW493),"")</f>
        <v/>
      </c>
      <c r="N493" s="11"/>
      <c r="O493" s="12" t="str">
        <f>IF(AND(ROW()-1&lt;=教室申込!$K$5,教室申込!$K$7=0,COUNTA(教室申込!$C$4)=1),INDEX(展開用!$G$2:$G$601,MATCH(ROW()-1,展開用!$E$2:$E$601,0)),"")</f>
        <v/>
      </c>
      <c r="P493" s="11"/>
      <c r="Q493" s="11"/>
      <c r="R493" s="11"/>
      <c r="S493" s="11"/>
      <c r="T493" s="11"/>
      <c r="U493" s="11" t="str">
        <f>IF(AND(ROW()-1&lt;=教室申込!$K$5,教室申込!$K$7=0,COUNTA(教室申込!$C$4)=1),INDEX(展開用!$F$2:$F$601,MATCH(ROW()-1,展開用!$E$2:$E$601,0)),"")</f>
        <v/>
      </c>
      <c r="V493" s="11"/>
      <c r="W493" s="11"/>
      <c r="X493" s="11"/>
      <c r="Y493" s="11"/>
      <c r="Z493" s="11"/>
      <c r="AA493" s="11" t="str">
        <f>IF($AW493="","",IF(INDEX(教室申込!$J$1:$J$212,$AW493)="","",INDEX(教室申込!$J$1:$J$212,$AW493)))</f>
        <v/>
      </c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" t="str">
        <f>IF(AND(ROW()-1&lt;=教室申込!$K$5,教室申込!$K$7=0,COUNTA(教室申込!$C$4)=1),INDEX(展開用!$B$2:$B$601,MATCH(ROW()-1,展開用!$E$2:$E$601,0)),"")</f>
        <v/>
      </c>
      <c r="AX493" s="1"/>
      <c r="AY493" s="1"/>
    </row>
    <row r="494" spans="1:51" ht="24" customHeight="1">
      <c r="A494" s="11"/>
      <c r="B494" s="11"/>
      <c r="C494" s="11"/>
      <c r="D494" s="11"/>
      <c r="E494" s="11"/>
      <c r="F494" s="11"/>
      <c r="G494" s="11"/>
      <c r="H494" s="11" t="str">
        <f>IF(AND(ROW()-1&lt;=教室申込!$K$5,教室申込!$K$7=0,COUNTA(教室申込!$C$4)=1),INDEX(展開用!$C$2:$C$601,MATCH(ROW()-1,展開用!$E$2:$E$601,0)),"")</f>
        <v/>
      </c>
      <c r="I494" s="11" t="str">
        <f>IF(AND(ROW()-1&lt;=教室申込!$K$5,教室申込!$K$7=0,COUNTA(教室申込!$C$4)=1),INDEX(展開用!$D$2:$D$601,MATCH(ROW()-1,展開用!$E$2:$E$601,0)),"")</f>
        <v/>
      </c>
      <c r="J494" s="11"/>
      <c r="K494" s="11"/>
      <c r="L494" s="11" t="str">
        <f>IF(AND(ROW()-1&lt;=教室申込!$K$5,教室申込!$K$7=0,COUNTA(教室申込!$C$4)=1),INDEX(教室申込!$B$1:$B$212,$AW494),"")</f>
        <v/>
      </c>
      <c r="M494" s="11" t="str">
        <f>IF(AND(ROW()-1&lt;=教室申込!$K$5,教室申込!$K$7=0,COUNTA(教室申込!$C$4)=1),INDEX(教室申込!$C$1:$C$212,$AW494),"")</f>
        <v/>
      </c>
      <c r="N494" s="11"/>
      <c r="O494" s="12" t="str">
        <f>IF(AND(ROW()-1&lt;=教室申込!$K$5,教室申込!$K$7=0,COUNTA(教室申込!$C$4)=1),INDEX(展開用!$G$2:$G$601,MATCH(ROW()-1,展開用!$E$2:$E$601,0)),"")</f>
        <v/>
      </c>
      <c r="P494" s="11"/>
      <c r="Q494" s="11"/>
      <c r="R494" s="11"/>
      <c r="S494" s="11"/>
      <c r="T494" s="11"/>
      <c r="U494" s="11" t="str">
        <f>IF(AND(ROW()-1&lt;=教室申込!$K$5,教室申込!$K$7=0,COUNTA(教室申込!$C$4)=1),INDEX(展開用!$F$2:$F$601,MATCH(ROW()-1,展開用!$E$2:$E$601,0)),"")</f>
        <v/>
      </c>
      <c r="V494" s="11"/>
      <c r="W494" s="11"/>
      <c r="X494" s="11"/>
      <c r="Y494" s="11"/>
      <c r="Z494" s="11"/>
      <c r="AA494" s="11" t="str">
        <f>IF($AW494="","",IF(INDEX(教室申込!$J$1:$J$212,$AW494)="","",INDEX(教室申込!$J$1:$J$212,$AW494)))</f>
        <v/>
      </c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" t="str">
        <f>IF(AND(ROW()-1&lt;=教室申込!$K$5,教室申込!$K$7=0,COUNTA(教室申込!$C$4)=1),INDEX(展開用!$B$2:$B$601,MATCH(ROW()-1,展開用!$E$2:$E$601,0)),"")</f>
        <v/>
      </c>
      <c r="AX494" s="1"/>
      <c r="AY494" s="1"/>
    </row>
    <row r="495" spans="1:51" ht="24" customHeight="1">
      <c r="A495" s="11"/>
      <c r="B495" s="11"/>
      <c r="C495" s="11"/>
      <c r="D495" s="11"/>
      <c r="E495" s="11"/>
      <c r="F495" s="11"/>
      <c r="G495" s="11"/>
      <c r="H495" s="11" t="str">
        <f>IF(AND(ROW()-1&lt;=教室申込!$K$5,教室申込!$K$7=0,COUNTA(教室申込!$C$4)=1),INDEX(展開用!$C$2:$C$601,MATCH(ROW()-1,展開用!$E$2:$E$601,0)),"")</f>
        <v/>
      </c>
      <c r="I495" s="11" t="str">
        <f>IF(AND(ROW()-1&lt;=教室申込!$K$5,教室申込!$K$7=0,COUNTA(教室申込!$C$4)=1),INDEX(展開用!$D$2:$D$601,MATCH(ROW()-1,展開用!$E$2:$E$601,0)),"")</f>
        <v/>
      </c>
      <c r="J495" s="11"/>
      <c r="K495" s="11"/>
      <c r="L495" s="11" t="str">
        <f>IF(AND(ROW()-1&lt;=教室申込!$K$5,教室申込!$K$7=0,COUNTA(教室申込!$C$4)=1),INDEX(教室申込!$B$1:$B$212,$AW495),"")</f>
        <v/>
      </c>
      <c r="M495" s="11" t="str">
        <f>IF(AND(ROW()-1&lt;=教室申込!$K$5,教室申込!$K$7=0,COUNTA(教室申込!$C$4)=1),INDEX(教室申込!$C$1:$C$212,$AW495),"")</f>
        <v/>
      </c>
      <c r="N495" s="11"/>
      <c r="O495" s="12" t="str">
        <f>IF(AND(ROW()-1&lt;=教室申込!$K$5,教室申込!$K$7=0,COUNTA(教室申込!$C$4)=1),INDEX(展開用!$G$2:$G$601,MATCH(ROW()-1,展開用!$E$2:$E$601,0)),"")</f>
        <v/>
      </c>
      <c r="P495" s="11"/>
      <c r="Q495" s="11"/>
      <c r="R495" s="11"/>
      <c r="S495" s="11"/>
      <c r="T495" s="11"/>
      <c r="U495" s="11" t="str">
        <f>IF(AND(ROW()-1&lt;=教室申込!$K$5,教室申込!$K$7=0,COUNTA(教室申込!$C$4)=1),INDEX(展開用!$F$2:$F$601,MATCH(ROW()-1,展開用!$E$2:$E$601,0)),"")</f>
        <v/>
      </c>
      <c r="V495" s="11"/>
      <c r="W495" s="11"/>
      <c r="X495" s="11"/>
      <c r="Y495" s="11"/>
      <c r="Z495" s="11"/>
      <c r="AA495" s="11" t="str">
        <f>IF($AW495="","",IF(INDEX(教室申込!$J$1:$J$212,$AW495)="","",INDEX(教室申込!$J$1:$J$212,$AW495)))</f>
        <v/>
      </c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" t="str">
        <f>IF(AND(ROW()-1&lt;=教室申込!$K$5,教室申込!$K$7=0,COUNTA(教室申込!$C$4)=1),INDEX(展開用!$B$2:$B$601,MATCH(ROW()-1,展開用!$E$2:$E$601,0)),"")</f>
        <v/>
      </c>
      <c r="AX495" s="1"/>
      <c r="AY495" s="1"/>
    </row>
    <row r="496" spans="1:51" ht="24" customHeight="1">
      <c r="A496" s="11"/>
      <c r="B496" s="11"/>
      <c r="C496" s="11"/>
      <c r="D496" s="11"/>
      <c r="E496" s="11"/>
      <c r="F496" s="11"/>
      <c r="G496" s="11"/>
      <c r="H496" s="11" t="str">
        <f>IF(AND(ROW()-1&lt;=教室申込!$K$5,教室申込!$K$7=0,COUNTA(教室申込!$C$4)=1),INDEX(展開用!$C$2:$C$601,MATCH(ROW()-1,展開用!$E$2:$E$601,0)),"")</f>
        <v/>
      </c>
      <c r="I496" s="11" t="str">
        <f>IF(AND(ROW()-1&lt;=教室申込!$K$5,教室申込!$K$7=0,COUNTA(教室申込!$C$4)=1),INDEX(展開用!$D$2:$D$601,MATCH(ROW()-1,展開用!$E$2:$E$601,0)),"")</f>
        <v/>
      </c>
      <c r="J496" s="11"/>
      <c r="K496" s="11"/>
      <c r="L496" s="11" t="str">
        <f>IF(AND(ROW()-1&lt;=教室申込!$K$5,教室申込!$K$7=0,COUNTA(教室申込!$C$4)=1),INDEX(教室申込!$B$1:$B$212,$AW496),"")</f>
        <v/>
      </c>
      <c r="M496" s="11" t="str">
        <f>IF(AND(ROW()-1&lt;=教室申込!$K$5,教室申込!$K$7=0,COUNTA(教室申込!$C$4)=1),INDEX(教室申込!$C$1:$C$212,$AW496),"")</f>
        <v/>
      </c>
      <c r="N496" s="11"/>
      <c r="O496" s="12" t="str">
        <f>IF(AND(ROW()-1&lt;=教室申込!$K$5,教室申込!$K$7=0,COUNTA(教室申込!$C$4)=1),INDEX(展開用!$G$2:$G$601,MATCH(ROW()-1,展開用!$E$2:$E$601,0)),"")</f>
        <v/>
      </c>
      <c r="P496" s="11"/>
      <c r="Q496" s="11"/>
      <c r="R496" s="11"/>
      <c r="S496" s="11"/>
      <c r="T496" s="11"/>
      <c r="U496" s="11" t="str">
        <f>IF(AND(ROW()-1&lt;=教室申込!$K$5,教室申込!$K$7=0,COUNTA(教室申込!$C$4)=1),INDEX(展開用!$F$2:$F$601,MATCH(ROW()-1,展開用!$E$2:$E$601,0)),"")</f>
        <v/>
      </c>
      <c r="V496" s="11"/>
      <c r="W496" s="11"/>
      <c r="X496" s="11"/>
      <c r="Y496" s="11"/>
      <c r="Z496" s="11"/>
      <c r="AA496" s="11" t="str">
        <f>IF($AW496="","",IF(INDEX(教室申込!$J$1:$J$212,$AW496)="","",INDEX(教室申込!$J$1:$J$212,$AW496)))</f>
        <v/>
      </c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" t="str">
        <f>IF(AND(ROW()-1&lt;=教室申込!$K$5,教室申込!$K$7=0,COUNTA(教室申込!$C$4)=1),INDEX(展開用!$B$2:$B$601,MATCH(ROW()-1,展開用!$E$2:$E$601,0)),"")</f>
        <v/>
      </c>
      <c r="AX496" s="1"/>
      <c r="AY496" s="1"/>
    </row>
    <row r="497" spans="1:51" ht="24" customHeight="1">
      <c r="A497" s="11"/>
      <c r="B497" s="11"/>
      <c r="C497" s="11"/>
      <c r="D497" s="11"/>
      <c r="E497" s="11"/>
      <c r="F497" s="11"/>
      <c r="G497" s="11"/>
      <c r="H497" s="11" t="str">
        <f>IF(AND(ROW()-1&lt;=教室申込!$K$5,教室申込!$K$7=0,COUNTA(教室申込!$C$4)=1),INDEX(展開用!$C$2:$C$601,MATCH(ROW()-1,展開用!$E$2:$E$601,0)),"")</f>
        <v/>
      </c>
      <c r="I497" s="11" t="str">
        <f>IF(AND(ROW()-1&lt;=教室申込!$K$5,教室申込!$K$7=0,COUNTA(教室申込!$C$4)=1),INDEX(展開用!$D$2:$D$601,MATCH(ROW()-1,展開用!$E$2:$E$601,0)),"")</f>
        <v/>
      </c>
      <c r="J497" s="11"/>
      <c r="K497" s="11"/>
      <c r="L497" s="11" t="str">
        <f>IF(AND(ROW()-1&lt;=教室申込!$K$5,教室申込!$K$7=0,COUNTA(教室申込!$C$4)=1),INDEX(教室申込!$B$1:$B$212,$AW497),"")</f>
        <v/>
      </c>
      <c r="M497" s="11" t="str">
        <f>IF(AND(ROW()-1&lt;=教室申込!$K$5,教室申込!$K$7=0,COUNTA(教室申込!$C$4)=1),INDEX(教室申込!$C$1:$C$212,$AW497),"")</f>
        <v/>
      </c>
      <c r="N497" s="11"/>
      <c r="O497" s="12" t="str">
        <f>IF(AND(ROW()-1&lt;=教室申込!$K$5,教室申込!$K$7=0,COUNTA(教室申込!$C$4)=1),INDEX(展開用!$G$2:$G$601,MATCH(ROW()-1,展開用!$E$2:$E$601,0)),"")</f>
        <v/>
      </c>
      <c r="P497" s="11"/>
      <c r="Q497" s="11"/>
      <c r="R497" s="11"/>
      <c r="S497" s="11"/>
      <c r="T497" s="11"/>
      <c r="U497" s="11" t="str">
        <f>IF(AND(ROW()-1&lt;=教室申込!$K$5,教室申込!$K$7=0,COUNTA(教室申込!$C$4)=1),INDEX(展開用!$F$2:$F$601,MATCH(ROW()-1,展開用!$E$2:$E$601,0)),"")</f>
        <v/>
      </c>
      <c r="V497" s="11"/>
      <c r="W497" s="11"/>
      <c r="X497" s="11"/>
      <c r="Y497" s="11"/>
      <c r="Z497" s="11"/>
      <c r="AA497" s="11" t="str">
        <f>IF($AW497="","",IF(INDEX(教室申込!$J$1:$J$212,$AW497)="","",INDEX(教室申込!$J$1:$J$212,$AW497)))</f>
        <v/>
      </c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" t="str">
        <f>IF(AND(ROW()-1&lt;=教室申込!$K$5,教室申込!$K$7=0,COUNTA(教室申込!$C$4)=1),INDEX(展開用!$B$2:$B$601,MATCH(ROW()-1,展開用!$E$2:$E$601,0)),"")</f>
        <v/>
      </c>
      <c r="AX497" s="1"/>
      <c r="AY497" s="1"/>
    </row>
    <row r="498" spans="1:51" ht="24" customHeight="1">
      <c r="A498" s="11"/>
      <c r="B498" s="11"/>
      <c r="C498" s="11"/>
      <c r="D498" s="11"/>
      <c r="E498" s="11"/>
      <c r="F498" s="11"/>
      <c r="G498" s="11"/>
      <c r="H498" s="11" t="str">
        <f>IF(AND(ROW()-1&lt;=教室申込!$K$5,教室申込!$K$7=0,COUNTA(教室申込!$C$4)=1),INDEX(展開用!$C$2:$C$601,MATCH(ROW()-1,展開用!$E$2:$E$601,0)),"")</f>
        <v/>
      </c>
      <c r="I498" s="11" t="str">
        <f>IF(AND(ROW()-1&lt;=教室申込!$K$5,教室申込!$K$7=0,COUNTA(教室申込!$C$4)=1),INDEX(展開用!$D$2:$D$601,MATCH(ROW()-1,展開用!$E$2:$E$601,0)),"")</f>
        <v/>
      </c>
      <c r="J498" s="11"/>
      <c r="K498" s="11"/>
      <c r="L498" s="11" t="str">
        <f>IF(AND(ROW()-1&lt;=教室申込!$K$5,教室申込!$K$7=0,COUNTA(教室申込!$C$4)=1),INDEX(教室申込!$B$1:$B$212,$AW498),"")</f>
        <v/>
      </c>
      <c r="M498" s="11" t="str">
        <f>IF(AND(ROW()-1&lt;=教室申込!$K$5,教室申込!$K$7=0,COUNTA(教室申込!$C$4)=1),INDEX(教室申込!$C$1:$C$212,$AW498),"")</f>
        <v/>
      </c>
      <c r="N498" s="11"/>
      <c r="O498" s="12" t="str">
        <f>IF(AND(ROW()-1&lt;=教室申込!$K$5,教室申込!$K$7=0,COUNTA(教室申込!$C$4)=1),INDEX(展開用!$G$2:$G$601,MATCH(ROW()-1,展開用!$E$2:$E$601,0)),"")</f>
        <v/>
      </c>
      <c r="P498" s="11"/>
      <c r="Q498" s="11"/>
      <c r="R498" s="11"/>
      <c r="S498" s="11"/>
      <c r="T498" s="11"/>
      <c r="U498" s="11" t="str">
        <f>IF(AND(ROW()-1&lt;=教室申込!$K$5,教室申込!$K$7=0,COUNTA(教室申込!$C$4)=1),INDEX(展開用!$F$2:$F$601,MATCH(ROW()-1,展開用!$E$2:$E$601,0)),"")</f>
        <v/>
      </c>
      <c r="V498" s="11"/>
      <c r="W498" s="11"/>
      <c r="X498" s="11"/>
      <c r="Y498" s="11"/>
      <c r="Z498" s="11"/>
      <c r="AA498" s="11" t="str">
        <f>IF($AW498="","",IF(INDEX(教室申込!$J$1:$J$212,$AW498)="","",INDEX(教室申込!$J$1:$J$212,$AW498)))</f>
        <v/>
      </c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" t="str">
        <f>IF(AND(ROW()-1&lt;=教室申込!$K$5,教室申込!$K$7=0,COUNTA(教室申込!$C$4)=1),INDEX(展開用!$B$2:$B$601,MATCH(ROW()-1,展開用!$E$2:$E$601,0)),"")</f>
        <v/>
      </c>
      <c r="AX498" s="1"/>
      <c r="AY498" s="1"/>
    </row>
    <row r="499" spans="1:51" ht="24" customHeight="1">
      <c r="A499" s="11"/>
      <c r="B499" s="11"/>
      <c r="C499" s="11"/>
      <c r="D499" s="11"/>
      <c r="E499" s="11"/>
      <c r="F499" s="11"/>
      <c r="G499" s="11"/>
      <c r="H499" s="11" t="str">
        <f>IF(AND(ROW()-1&lt;=教室申込!$K$5,教室申込!$K$7=0,COUNTA(教室申込!$C$4)=1),INDEX(展開用!$C$2:$C$601,MATCH(ROW()-1,展開用!$E$2:$E$601,0)),"")</f>
        <v/>
      </c>
      <c r="I499" s="11" t="str">
        <f>IF(AND(ROW()-1&lt;=教室申込!$K$5,教室申込!$K$7=0,COUNTA(教室申込!$C$4)=1),INDEX(展開用!$D$2:$D$601,MATCH(ROW()-1,展開用!$E$2:$E$601,0)),"")</f>
        <v/>
      </c>
      <c r="J499" s="11"/>
      <c r="K499" s="11"/>
      <c r="L499" s="11" t="str">
        <f>IF(AND(ROW()-1&lt;=教室申込!$K$5,教室申込!$K$7=0,COUNTA(教室申込!$C$4)=1),INDEX(教室申込!$B$1:$B$212,$AW499),"")</f>
        <v/>
      </c>
      <c r="M499" s="11" t="str">
        <f>IF(AND(ROW()-1&lt;=教室申込!$K$5,教室申込!$K$7=0,COUNTA(教室申込!$C$4)=1),INDEX(教室申込!$C$1:$C$212,$AW499),"")</f>
        <v/>
      </c>
      <c r="N499" s="11"/>
      <c r="O499" s="12" t="str">
        <f>IF(AND(ROW()-1&lt;=教室申込!$K$5,教室申込!$K$7=0,COUNTA(教室申込!$C$4)=1),INDEX(展開用!$G$2:$G$601,MATCH(ROW()-1,展開用!$E$2:$E$601,0)),"")</f>
        <v/>
      </c>
      <c r="P499" s="11"/>
      <c r="Q499" s="11"/>
      <c r="R499" s="11"/>
      <c r="S499" s="11"/>
      <c r="T499" s="11"/>
      <c r="U499" s="11" t="str">
        <f>IF(AND(ROW()-1&lt;=教室申込!$K$5,教室申込!$K$7=0,COUNTA(教室申込!$C$4)=1),INDEX(展開用!$F$2:$F$601,MATCH(ROW()-1,展開用!$E$2:$E$601,0)),"")</f>
        <v/>
      </c>
      <c r="V499" s="11"/>
      <c r="W499" s="11"/>
      <c r="X499" s="11"/>
      <c r="Y499" s="11"/>
      <c r="Z499" s="11"/>
      <c r="AA499" s="11" t="str">
        <f>IF($AW499="","",IF(INDEX(教室申込!$J$1:$J$212,$AW499)="","",INDEX(教室申込!$J$1:$J$212,$AW499)))</f>
        <v/>
      </c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" t="str">
        <f>IF(AND(ROW()-1&lt;=教室申込!$K$5,教室申込!$K$7=0,COUNTA(教室申込!$C$4)=1),INDEX(展開用!$B$2:$B$601,MATCH(ROW()-1,展開用!$E$2:$E$601,0)),"")</f>
        <v/>
      </c>
      <c r="AX499" s="1"/>
      <c r="AY499" s="1"/>
    </row>
    <row r="500" spans="1:51" ht="24" customHeight="1">
      <c r="A500" s="11"/>
      <c r="B500" s="11"/>
      <c r="C500" s="11"/>
      <c r="D500" s="11"/>
      <c r="E500" s="11"/>
      <c r="F500" s="11"/>
      <c r="G500" s="11"/>
      <c r="H500" s="11" t="str">
        <f>IF(AND(ROW()-1&lt;=教室申込!$K$5,教室申込!$K$7=0,COUNTA(教室申込!$C$4)=1),INDEX(展開用!$C$2:$C$601,MATCH(ROW()-1,展開用!$E$2:$E$601,0)),"")</f>
        <v/>
      </c>
      <c r="I500" s="11" t="str">
        <f>IF(AND(ROW()-1&lt;=教室申込!$K$5,教室申込!$K$7=0,COUNTA(教室申込!$C$4)=1),INDEX(展開用!$D$2:$D$601,MATCH(ROW()-1,展開用!$E$2:$E$601,0)),"")</f>
        <v/>
      </c>
      <c r="J500" s="11"/>
      <c r="K500" s="11"/>
      <c r="L500" s="11" t="str">
        <f>IF(AND(ROW()-1&lt;=教室申込!$K$5,教室申込!$K$7=0,COUNTA(教室申込!$C$4)=1),INDEX(教室申込!$B$1:$B$212,$AW500),"")</f>
        <v/>
      </c>
      <c r="M500" s="11" t="str">
        <f>IF(AND(ROW()-1&lt;=教室申込!$K$5,教室申込!$K$7=0,COUNTA(教室申込!$C$4)=1),INDEX(教室申込!$C$1:$C$212,$AW500),"")</f>
        <v/>
      </c>
      <c r="N500" s="11"/>
      <c r="O500" s="12" t="str">
        <f>IF(AND(ROW()-1&lt;=教室申込!$K$5,教室申込!$K$7=0,COUNTA(教室申込!$C$4)=1),INDEX(展開用!$G$2:$G$601,MATCH(ROW()-1,展開用!$E$2:$E$601,0)),"")</f>
        <v/>
      </c>
      <c r="P500" s="11"/>
      <c r="Q500" s="11"/>
      <c r="R500" s="11"/>
      <c r="S500" s="11"/>
      <c r="T500" s="11"/>
      <c r="U500" s="11" t="str">
        <f>IF(AND(ROW()-1&lt;=教室申込!$K$5,教室申込!$K$7=0,COUNTA(教室申込!$C$4)=1),INDEX(展開用!$F$2:$F$601,MATCH(ROW()-1,展開用!$E$2:$E$601,0)),"")</f>
        <v/>
      </c>
      <c r="V500" s="11"/>
      <c r="W500" s="11"/>
      <c r="X500" s="11"/>
      <c r="Y500" s="11"/>
      <c r="Z500" s="11"/>
      <c r="AA500" s="11" t="str">
        <f>IF($AW500="","",IF(INDEX(教室申込!$J$1:$J$212,$AW500)="","",INDEX(教室申込!$J$1:$J$212,$AW500)))</f>
        <v/>
      </c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" t="str">
        <f>IF(AND(ROW()-1&lt;=教室申込!$K$5,教室申込!$K$7=0,COUNTA(教室申込!$C$4)=1),INDEX(展開用!$B$2:$B$601,MATCH(ROW()-1,展開用!$E$2:$E$601,0)),"")</f>
        <v/>
      </c>
      <c r="AX500" s="1"/>
      <c r="AY500" s="1"/>
    </row>
    <row r="501" spans="1:51" ht="24" customHeight="1">
      <c r="A501" s="11"/>
      <c r="B501" s="11"/>
      <c r="C501" s="11"/>
      <c r="D501" s="11"/>
      <c r="E501" s="11"/>
      <c r="F501" s="11"/>
      <c r="G501" s="11"/>
      <c r="H501" s="11" t="str">
        <f>IF(AND(ROW()-1&lt;=教室申込!$K$5,教室申込!$K$7=0,COUNTA(教室申込!$C$4)=1),INDEX(展開用!$C$2:$C$601,MATCH(ROW()-1,展開用!$E$2:$E$601,0)),"")</f>
        <v/>
      </c>
      <c r="I501" s="11" t="str">
        <f>IF(AND(ROW()-1&lt;=教室申込!$K$5,教室申込!$K$7=0,COUNTA(教室申込!$C$4)=1),INDEX(展開用!$D$2:$D$601,MATCH(ROW()-1,展開用!$E$2:$E$601,0)),"")</f>
        <v/>
      </c>
      <c r="J501" s="11"/>
      <c r="K501" s="11"/>
      <c r="L501" s="11" t="str">
        <f>IF(AND(ROW()-1&lt;=教室申込!$K$5,教室申込!$K$7=0,COUNTA(教室申込!$C$4)=1),INDEX(教室申込!$B$1:$B$212,$AW501),"")</f>
        <v/>
      </c>
      <c r="M501" s="11" t="str">
        <f>IF(AND(ROW()-1&lt;=教室申込!$K$5,教室申込!$K$7=0,COUNTA(教室申込!$C$4)=1),INDEX(教室申込!$C$1:$C$212,$AW501),"")</f>
        <v/>
      </c>
      <c r="N501" s="11"/>
      <c r="O501" s="12" t="str">
        <f>IF(AND(ROW()-1&lt;=教室申込!$K$5,教室申込!$K$7=0,COUNTA(教室申込!$C$4)=1),INDEX(展開用!$G$2:$G$601,MATCH(ROW()-1,展開用!$E$2:$E$601,0)),"")</f>
        <v/>
      </c>
      <c r="P501" s="11"/>
      <c r="Q501" s="11"/>
      <c r="R501" s="11"/>
      <c r="S501" s="11"/>
      <c r="T501" s="11"/>
      <c r="U501" s="11" t="str">
        <f>IF(AND(ROW()-1&lt;=教室申込!$K$5,教室申込!$K$7=0,COUNTA(教室申込!$C$4)=1),INDEX(展開用!$F$2:$F$601,MATCH(ROW()-1,展開用!$E$2:$E$601,0)),"")</f>
        <v/>
      </c>
      <c r="V501" s="11"/>
      <c r="W501" s="11"/>
      <c r="X501" s="11"/>
      <c r="Y501" s="11"/>
      <c r="Z501" s="11"/>
      <c r="AA501" s="11" t="str">
        <f>IF($AW501="","",IF(INDEX(教室申込!$J$1:$J$212,$AW501)="","",INDEX(教室申込!$J$1:$J$212,$AW501)))</f>
        <v/>
      </c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" t="str">
        <f>IF(AND(ROW()-1&lt;=教室申込!$K$5,教室申込!$K$7=0,COUNTA(教室申込!$C$4)=1),INDEX(展開用!$B$2:$B$601,MATCH(ROW()-1,展開用!$E$2:$E$601,0)),"")</f>
        <v/>
      </c>
      <c r="AX501" s="1"/>
      <c r="AY501" s="1"/>
    </row>
    <row r="502" spans="1:51" ht="24" customHeight="1">
      <c r="A502" s="11"/>
      <c r="B502" s="11"/>
      <c r="C502" s="11"/>
      <c r="D502" s="11"/>
      <c r="E502" s="11"/>
      <c r="F502" s="11"/>
      <c r="G502" s="11"/>
      <c r="H502" s="11" t="str">
        <f>IF(AND(ROW()-1&lt;=教室申込!$K$5,教室申込!$K$7=0,COUNTA(教室申込!$C$4)=1),INDEX(展開用!$C$2:$C$601,MATCH(ROW()-1,展開用!$E$2:$E$601,0)),"")</f>
        <v/>
      </c>
      <c r="I502" s="11" t="str">
        <f>IF(AND(ROW()-1&lt;=教室申込!$K$5,教室申込!$K$7=0,COUNTA(教室申込!$C$4)=1),INDEX(展開用!$D$2:$D$601,MATCH(ROW()-1,展開用!$E$2:$E$601,0)),"")</f>
        <v/>
      </c>
      <c r="J502" s="11"/>
      <c r="K502" s="11"/>
      <c r="L502" s="11" t="str">
        <f>IF(AND(ROW()-1&lt;=教室申込!$K$5,教室申込!$K$7=0,COUNTA(教室申込!$C$4)=1),INDEX(教室申込!$B$1:$B$212,$AW502),"")</f>
        <v/>
      </c>
      <c r="M502" s="11" t="str">
        <f>IF(AND(ROW()-1&lt;=教室申込!$K$5,教室申込!$K$7=0,COUNTA(教室申込!$C$4)=1),INDEX(教室申込!$C$1:$C$212,$AW502),"")</f>
        <v/>
      </c>
      <c r="N502" s="11"/>
      <c r="O502" s="12" t="str">
        <f>IF(AND(ROW()-1&lt;=教室申込!$K$5,教室申込!$K$7=0,COUNTA(教室申込!$C$4)=1),INDEX(展開用!$G$2:$G$601,MATCH(ROW()-1,展開用!$E$2:$E$601,0)),"")</f>
        <v/>
      </c>
      <c r="P502" s="11"/>
      <c r="Q502" s="11"/>
      <c r="R502" s="11"/>
      <c r="S502" s="11"/>
      <c r="T502" s="11"/>
      <c r="U502" s="11" t="str">
        <f>IF(AND(ROW()-1&lt;=教室申込!$K$5,教室申込!$K$7=0,COUNTA(教室申込!$C$4)=1),INDEX(展開用!$F$2:$F$601,MATCH(ROW()-1,展開用!$E$2:$E$601,0)),"")</f>
        <v/>
      </c>
      <c r="V502" s="11"/>
      <c r="W502" s="11"/>
      <c r="X502" s="11"/>
      <c r="Y502" s="11"/>
      <c r="Z502" s="11"/>
      <c r="AA502" s="11" t="str">
        <f>IF($AW502="","",IF(INDEX(教室申込!$J$1:$J$212,$AW502)="","",INDEX(教室申込!$J$1:$J$212,$AW502)))</f>
        <v/>
      </c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" t="str">
        <f>IF(AND(ROW()-1&lt;=教室申込!$K$5,教室申込!$K$7=0,COUNTA(教室申込!$C$4)=1),INDEX(展開用!$B$2:$B$601,MATCH(ROW()-1,展開用!$E$2:$E$601,0)),"")</f>
        <v/>
      </c>
      <c r="AX502" s="1"/>
      <c r="AY502" s="1"/>
    </row>
    <row r="503" spans="1:51" ht="24" customHeight="1">
      <c r="A503" s="11"/>
      <c r="B503" s="11"/>
      <c r="C503" s="11"/>
      <c r="D503" s="11"/>
      <c r="E503" s="11"/>
      <c r="F503" s="11"/>
      <c r="G503" s="11"/>
      <c r="H503" s="11" t="str">
        <f>IF(AND(ROW()-1&lt;=教室申込!$K$5,教室申込!$K$7=0,COUNTA(教室申込!$C$4)=1),INDEX(展開用!$C$2:$C$601,MATCH(ROW()-1,展開用!$E$2:$E$601,0)),"")</f>
        <v/>
      </c>
      <c r="I503" s="11" t="str">
        <f>IF(AND(ROW()-1&lt;=教室申込!$K$5,教室申込!$K$7=0,COUNTA(教室申込!$C$4)=1),INDEX(展開用!$D$2:$D$601,MATCH(ROW()-1,展開用!$E$2:$E$601,0)),"")</f>
        <v/>
      </c>
      <c r="J503" s="11"/>
      <c r="K503" s="11"/>
      <c r="L503" s="11" t="str">
        <f>IF(AND(ROW()-1&lt;=教室申込!$K$5,教室申込!$K$7=0,COUNTA(教室申込!$C$4)=1),INDEX(教室申込!$B$1:$B$212,$AW503),"")</f>
        <v/>
      </c>
      <c r="M503" s="11" t="str">
        <f>IF(AND(ROW()-1&lt;=教室申込!$K$5,教室申込!$K$7=0,COUNTA(教室申込!$C$4)=1),INDEX(教室申込!$C$1:$C$212,$AW503),"")</f>
        <v/>
      </c>
      <c r="N503" s="11"/>
      <c r="O503" s="12" t="str">
        <f>IF(AND(ROW()-1&lt;=教室申込!$K$5,教室申込!$K$7=0,COUNTA(教室申込!$C$4)=1),INDEX(展開用!$G$2:$G$601,MATCH(ROW()-1,展開用!$E$2:$E$601,0)),"")</f>
        <v/>
      </c>
      <c r="P503" s="11"/>
      <c r="Q503" s="11"/>
      <c r="R503" s="11"/>
      <c r="S503" s="11"/>
      <c r="T503" s="11"/>
      <c r="U503" s="11" t="str">
        <f>IF(AND(ROW()-1&lt;=教室申込!$K$5,教室申込!$K$7=0,COUNTA(教室申込!$C$4)=1),INDEX(展開用!$F$2:$F$601,MATCH(ROW()-1,展開用!$E$2:$E$601,0)),"")</f>
        <v/>
      </c>
      <c r="V503" s="11"/>
      <c r="W503" s="11"/>
      <c r="X503" s="11"/>
      <c r="Y503" s="11"/>
      <c r="Z503" s="11"/>
      <c r="AA503" s="11" t="str">
        <f>IF($AW503="","",IF(INDEX(教室申込!$J$1:$J$212,$AW503)="","",INDEX(教室申込!$J$1:$J$212,$AW503)))</f>
        <v/>
      </c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" t="str">
        <f>IF(AND(ROW()-1&lt;=教室申込!$K$5,教室申込!$K$7=0,COUNTA(教室申込!$C$4)=1),INDEX(展開用!$B$2:$B$601,MATCH(ROW()-1,展開用!$E$2:$E$601,0)),"")</f>
        <v/>
      </c>
      <c r="AX503" s="1"/>
      <c r="AY503" s="1"/>
    </row>
    <row r="504" spans="1:51" ht="24" customHeight="1">
      <c r="A504" s="11"/>
      <c r="B504" s="11"/>
      <c r="C504" s="11"/>
      <c r="D504" s="11"/>
      <c r="E504" s="11"/>
      <c r="F504" s="11"/>
      <c r="G504" s="11"/>
      <c r="H504" s="11" t="str">
        <f>IF(AND(ROW()-1&lt;=教室申込!$K$5,教室申込!$K$7=0,COUNTA(教室申込!$C$4)=1),INDEX(展開用!$C$2:$C$601,MATCH(ROW()-1,展開用!$E$2:$E$601,0)),"")</f>
        <v/>
      </c>
      <c r="I504" s="11" t="str">
        <f>IF(AND(ROW()-1&lt;=教室申込!$K$5,教室申込!$K$7=0,COUNTA(教室申込!$C$4)=1),INDEX(展開用!$D$2:$D$601,MATCH(ROW()-1,展開用!$E$2:$E$601,0)),"")</f>
        <v/>
      </c>
      <c r="J504" s="11"/>
      <c r="K504" s="11"/>
      <c r="L504" s="11" t="str">
        <f>IF(AND(ROW()-1&lt;=教室申込!$K$5,教室申込!$K$7=0,COUNTA(教室申込!$C$4)=1),INDEX(教室申込!$B$1:$B$212,$AW504),"")</f>
        <v/>
      </c>
      <c r="M504" s="11" t="str">
        <f>IF(AND(ROW()-1&lt;=教室申込!$K$5,教室申込!$K$7=0,COUNTA(教室申込!$C$4)=1),INDEX(教室申込!$C$1:$C$212,$AW504),"")</f>
        <v/>
      </c>
      <c r="N504" s="11"/>
      <c r="O504" s="12" t="str">
        <f>IF(AND(ROW()-1&lt;=教室申込!$K$5,教室申込!$K$7=0,COUNTA(教室申込!$C$4)=1),INDEX(展開用!$G$2:$G$601,MATCH(ROW()-1,展開用!$E$2:$E$601,0)),"")</f>
        <v/>
      </c>
      <c r="P504" s="11"/>
      <c r="Q504" s="11"/>
      <c r="R504" s="11"/>
      <c r="S504" s="11"/>
      <c r="T504" s="11"/>
      <c r="U504" s="11" t="str">
        <f>IF(AND(ROW()-1&lt;=教室申込!$K$5,教室申込!$K$7=0,COUNTA(教室申込!$C$4)=1),INDEX(展開用!$F$2:$F$601,MATCH(ROW()-1,展開用!$E$2:$E$601,0)),"")</f>
        <v/>
      </c>
      <c r="V504" s="11"/>
      <c r="W504" s="11"/>
      <c r="X504" s="11"/>
      <c r="Y504" s="11"/>
      <c r="Z504" s="11"/>
      <c r="AA504" s="11" t="str">
        <f>IF($AW504="","",IF(INDEX(教室申込!$J$1:$J$212,$AW504)="","",INDEX(教室申込!$J$1:$J$212,$AW504)))</f>
        <v/>
      </c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" t="str">
        <f>IF(AND(ROW()-1&lt;=教室申込!$K$5,教室申込!$K$7=0,COUNTA(教室申込!$C$4)=1),INDEX(展開用!$B$2:$B$601,MATCH(ROW()-1,展開用!$E$2:$E$601,0)),"")</f>
        <v/>
      </c>
      <c r="AX504" s="1"/>
      <c r="AY504" s="1"/>
    </row>
    <row r="505" spans="1:51" ht="24" customHeight="1">
      <c r="A505" s="11"/>
      <c r="B505" s="11"/>
      <c r="C505" s="11"/>
      <c r="D505" s="11"/>
      <c r="E505" s="11"/>
      <c r="F505" s="11"/>
      <c r="G505" s="11"/>
      <c r="H505" s="11" t="str">
        <f>IF(AND(ROW()-1&lt;=教室申込!$K$5,教室申込!$K$7=0,COUNTA(教室申込!$C$4)=1),INDEX(展開用!$C$2:$C$601,MATCH(ROW()-1,展開用!$E$2:$E$601,0)),"")</f>
        <v/>
      </c>
      <c r="I505" s="11" t="str">
        <f>IF(AND(ROW()-1&lt;=教室申込!$K$5,教室申込!$K$7=0,COUNTA(教室申込!$C$4)=1),INDEX(展開用!$D$2:$D$601,MATCH(ROW()-1,展開用!$E$2:$E$601,0)),"")</f>
        <v/>
      </c>
      <c r="J505" s="11"/>
      <c r="K505" s="11"/>
      <c r="L505" s="11" t="str">
        <f>IF(AND(ROW()-1&lt;=教室申込!$K$5,教室申込!$K$7=0,COUNTA(教室申込!$C$4)=1),INDEX(教室申込!$B$1:$B$212,$AW505),"")</f>
        <v/>
      </c>
      <c r="M505" s="11" t="str">
        <f>IF(AND(ROW()-1&lt;=教室申込!$K$5,教室申込!$K$7=0,COUNTA(教室申込!$C$4)=1),INDEX(教室申込!$C$1:$C$212,$AW505),"")</f>
        <v/>
      </c>
      <c r="N505" s="11"/>
      <c r="O505" s="12" t="str">
        <f>IF(AND(ROW()-1&lt;=教室申込!$K$5,教室申込!$K$7=0,COUNTA(教室申込!$C$4)=1),INDEX(展開用!$G$2:$G$601,MATCH(ROW()-1,展開用!$E$2:$E$601,0)),"")</f>
        <v/>
      </c>
      <c r="P505" s="11"/>
      <c r="Q505" s="11"/>
      <c r="R505" s="11"/>
      <c r="S505" s="11"/>
      <c r="T505" s="11"/>
      <c r="U505" s="11" t="str">
        <f>IF(AND(ROW()-1&lt;=教室申込!$K$5,教室申込!$K$7=0,COUNTA(教室申込!$C$4)=1),INDEX(展開用!$F$2:$F$601,MATCH(ROW()-1,展開用!$E$2:$E$601,0)),"")</f>
        <v/>
      </c>
      <c r="V505" s="11"/>
      <c r="W505" s="11"/>
      <c r="X505" s="11"/>
      <c r="Y505" s="11"/>
      <c r="Z505" s="11"/>
      <c r="AA505" s="11" t="str">
        <f>IF($AW505="","",IF(INDEX(教室申込!$J$1:$J$212,$AW505)="","",INDEX(教室申込!$J$1:$J$212,$AW505)))</f>
        <v/>
      </c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" t="str">
        <f>IF(AND(ROW()-1&lt;=教室申込!$K$5,教室申込!$K$7=0,COUNTA(教室申込!$C$4)=1),INDEX(展開用!$B$2:$B$601,MATCH(ROW()-1,展開用!$E$2:$E$601,0)),"")</f>
        <v/>
      </c>
      <c r="AX505" s="1"/>
      <c r="AY505" s="1"/>
    </row>
    <row r="506" spans="1:51" ht="24" customHeight="1">
      <c r="A506" s="11"/>
      <c r="B506" s="11"/>
      <c r="C506" s="11"/>
      <c r="D506" s="11"/>
      <c r="E506" s="11"/>
      <c r="F506" s="11"/>
      <c r="G506" s="11"/>
      <c r="H506" s="11" t="str">
        <f>IF(AND(ROW()-1&lt;=教室申込!$K$5,教室申込!$K$7=0,COUNTA(教室申込!$C$4)=1),INDEX(展開用!$C$2:$C$601,MATCH(ROW()-1,展開用!$E$2:$E$601,0)),"")</f>
        <v/>
      </c>
      <c r="I506" s="11" t="str">
        <f>IF(AND(ROW()-1&lt;=教室申込!$K$5,教室申込!$K$7=0,COUNTA(教室申込!$C$4)=1),INDEX(展開用!$D$2:$D$601,MATCH(ROW()-1,展開用!$E$2:$E$601,0)),"")</f>
        <v/>
      </c>
      <c r="J506" s="11"/>
      <c r="K506" s="11"/>
      <c r="L506" s="11" t="str">
        <f>IF(AND(ROW()-1&lt;=教室申込!$K$5,教室申込!$K$7=0,COUNTA(教室申込!$C$4)=1),INDEX(教室申込!$B$1:$B$212,$AW506),"")</f>
        <v/>
      </c>
      <c r="M506" s="11" t="str">
        <f>IF(AND(ROW()-1&lt;=教室申込!$K$5,教室申込!$K$7=0,COUNTA(教室申込!$C$4)=1),INDEX(教室申込!$C$1:$C$212,$AW506),"")</f>
        <v/>
      </c>
      <c r="N506" s="11"/>
      <c r="O506" s="12" t="str">
        <f>IF(AND(ROW()-1&lt;=教室申込!$K$5,教室申込!$K$7=0,COUNTA(教室申込!$C$4)=1),INDEX(展開用!$G$2:$G$601,MATCH(ROW()-1,展開用!$E$2:$E$601,0)),"")</f>
        <v/>
      </c>
      <c r="P506" s="11"/>
      <c r="Q506" s="11"/>
      <c r="R506" s="11"/>
      <c r="S506" s="11"/>
      <c r="T506" s="11"/>
      <c r="U506" s="11" t="str">
        <f>IF(AND(ROW()-1&lt;=教室申込!$K$5,教室申込!$K$7=0,COUNTA(教室申込!$C$4)=1),INDEX(展開用!$F$2:$F$601,MATCH(ROW()-1,展開用!$E$2:$E$601,0)),"")</f>
        <v/>
      </c>
      <c r="V506" s="11"/>
      <c r="W506" s="11"/>
      <c r="X506" s="11"/>
      <c r="Y506" s="11"/>
      <c r="Z506" s="11"/>
      <c r="AA506" s="11" t="str">
        <f>IF($AW506="","",IF(INDEX(教室申込!$J$1:$J$212,$AW506)="","",INDEX(教室申込!$J$1:$J$212,$AW506)))</f>
        <v/>
      </c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" t="str">
        <f>IF(AND(ROW()-1&lt;=教室申込!$K$5,教室申込!$K$7=0,COUNTA(教室申込!$C$4)=1),INDEX(展開用!$B$2:$B$601,MATCH(ROW()-1,展開用!$E$2:$E$601,0)),"")</f>
        <v/>
      </c>
      <c r="AX506" s="1"/>
      <c r="AY506" s="1"/>
    </row>
    <row r="507" spans="1:51" ht="24" customHeight="1">
      <c r="A507" s="11"/>
      <c r="B507" s="11"/>
      <c r="C507" s="11"/>
      <c r="D507" s="11"/>
      <c r="E507" s="11"/>
      <c r="F507" s="11"/>
      <c r="G507" s="11"/>
      <c r="H507" s="11" t="str">
        <f>IF(AND(ROW()-1&lt;=教室申込!$K$5,教室申込!$K$7=0,COUNTA(教室申込!$C$4)=1),INDEX(展開用!$C$2:$C$601,MATCH(ROW()-1,展開用!$E$2:$E$601,0)),"")</f>
        <v/>
      </c>
      <c r="I507" s="11" t="str">
        <f>IF(AND(ROW()-1&lt;=教室申込!$K$5,教室申込!$K$7=0,COUNTA(教室申込!$C$4)=1),INDEX(展開用!$D$2:$D$601,MATCH(ROW()-1,展開用!$E$2:$E$601,0)),"")</f>
        <v/>
      </c>
      <c r="J507" s="11"/>
      <c r="K507" s="11"/>
      <c r="L507" s="11" t="str">
        <f>IF(AND(ROW()-1&lt;=教室申込!$K$5,教室申込!$K$7=0,COUNTA(教室申込!$C$4)=1),INDEX(教室申込!$B$1:$B$212,$AW507),"")</f>
        <v/>
      </c>
      <c r="M507" s="11" t="str">
        <f>IF(AND(ROW()-1&lt;=教室申込!$K$5,教室申込!$K$7=0,COUNTA(教室申込!$C$4)=1),INDEX(教室申込!$C$1:$C$212,$AW507),"")</f>
        <v/>
      </c>
      <c r="N507" s="11"/>
      <c r="O507" s="12" t="str">
        <f>IF(AND(ROW()-1&lt;=教室申込!$K$5,教室申込!$K$7=0,COUNTA(教室申込!$C$4)=1),INDEX(展開用!$G$2:$G$601,MATCH(ROW()-1,展開用!$E$2:$E$601,0)),"")</f>
        <v/>
      </c>
      <c r="P507" s="11"/>
      <c r="Q507" s="11"/>
      <c r="R507" s="11"/>
      <c r="S507" s="11"/>
      <c r="T507" s="11"/>
      <c r="U507" s="11" t="str">
        <f>IF(AND(ROW()-1&lt;=教室申込!$K$5,教室申込!$K$7=0,COUNTA(教室申込!$C$4)=1),INDEX(展開用!$F$2:$F$601,MATCH(ROW()-1,展開用!$E$2:$E$601,0)),"")</f>
        <v/>
      </c>
      <c r="V507" s="11"/>
      <c r="W507" s="11"/>
      <c r="X507" s="11"/>
      <c r="Y507" s="11"/>
      <c r="Z507" s="11"/>
      <c r="AA507" s="11" t="str">
        <f>IF($AW507="","",IF(INDEX(教室申込!$J$1:$J$212,$AW507)="","",INDEX(教室申込!$J$1:$J$212,$AW507)))</f>
        <v/>
      </c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" t="str">
        <f>IF(AND(ROW()-1&lt;=教室申込!$K$5,教室申込!$K$7=0,COUNTA(教室申込!$C$4)=1),INDEX(展開用!$B$2:$B$601,MATCH(ROW()-1,展開用!$E$2:$E$601,0)),"")</f>
        <v/>
      </c>
      <c r="AX507" s="1"/>
      <c r="AY507" s="1"/>
    </row>
    <row r="508" spans="1:51" ht="24" customHeight="1">
      <c r="A508" s="11"/>
      <c r="B508" s="11"/>
      <c r="C508" s="11"/>
      <c r="D508" s="11"/>
      <c r="E508" s="11"/>
      <c r="F508" s="11"/>
      <c r="G508" s="11"/>
      <c r="H508" s="11" t="str">
        <f>IF(AND(ROW()-1&lt;=教室申込!$K$5,教室申込!$K$7=0,COUNTA(教室申込!$C$4)=1),INDEX(展開用!$C$2:$C$601,MATCH(ROW()-1,展開用!$E$2:$E$601,0)),"")</f>
        <v/>
      </c>
      <c r="I508" s="11" t="str">
        <f>IF(AND(ROW()-1&lt;=教室申込!$K$5,教室申込!$K$7=0,COUNTA(教室申込!$C$4)=1),INDEX(展開用!$D$2:$D$601,MATCH(ROW()-1,展開用!$E$2:$E$601,0)),"")</f>
        <v/>
      </c>
      <c r="J508" s="11"/>
      <c r="K508" s="11"/>
      <c r="L508" s="11" t="str">
        <f>IF(AND(ROW()-1&lt;=教室申込!$K$5,教室申込!$K$7=0,COUNTA(教室申込!$C$4)=1),INDEX(教室申込!$B$1:$B$212,$AW508),"")</f>
        <v/>
      </c>
      <c r="M508" s="11" t="str">
        <f>IF(AND(ROW()-1&lt;=教室申込!$K$5,教室申込!$K$7=0,COUNTA(教室申込!$C$4)=1),INDEX(教室申込!$C$1:$C$212,$AW508),"")</f>
        <v/>
      </c>
      <c r="N508" s="11"/>
      <c r="O508" s="12" t="str">
        <f>IF(AND(ROW()-1&lt;=教室申込!$K$5,教室申込!$K$7=0,COUNTA(教室申込!$C$4)=1),INDEX(展開用!$G$2:$G$601,MATCH(ROW()-1,展開用!$E$2:$E$601,0)),"")</f>
        <v/>
      </c>
      <c r="P508" s="11"/>
      <c r="Q508" s="11"/>
      <c r="R508" s="11"/>
      <c r="S508" s="11"/>
      <c r="T508" s="11"/>
      <c r="U508" s="11" t="str">
        <f>IF(AND(ROW()-1&lt;=教室申込!$K$5,教室申込!$K$7=0,COUNTA(教室申込!$C$4)=1),INDEX(展開用!$F$2:$F$601,MATCH(ROW()-1,展開用!$E$2:$E$601,0)),"")</f>
        <v/>
      </c>
      <c r="V508" s="11"/>
      <c r="W508" s="11"/>
      <c r="X508" s="11"/>
      <c r="Y508" s="11"/>
      <c r="Z508" s="11"/>
      <c r="AA508" s="11" t="str">
        <f>IF($AW508="","",IF(INDEX(教室申込!$J$1:$J$212,$AW508)="","",INDEX(教室申込!$J$1:$J$212,$AW508)))</f>
        <v/>
      </c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" t="str">
        <f>IF(AND(ROW()-1&lt;=教室申込!$K$5,教室申込!$K$7=0,COUNTA(教室申込!$C$4)=1),INDEX(展開用!$B$2:$B$601,MATCH(ROW()-1,展開用!$E$2:$E$601,0)),"")</f>
        <v/>
      </c>
      <c r="AX508" s="1"/>
      <c r="AY508" s="1"/>
    </row>
    <row r="509" spans="1:51" ht="24" customHeight="1">
      <c r="A509" s="11"/>
      <c r="B509" s="11"/>
      <c r="C509" s="11"/>
      <c r="D509" s="11"/>
      <c r="E509" s="11"/>
      <c r="F509" s="11"/>
      <c r="G509" s="11"/>
      <c r="H509" s="11" t="str">
        <f>IF(AND(ROW()-1&lt;=教室申込!$K$5,教室申込!$K$7=0,COUNTA(教室申込!$C$4)=1),INDEX(展開用!$C$2:$C$601,MATCH(ROW()-1,展開用!$E$2:$E$601,0)),"")</f>
        <v/>
      </c>
      <c r="I509" s="11" t="str">
        <f>IF(AND(ROW()-1&lt;=教室申込!$K$5,教室申込!$K$7=0,COUNTA(教室申込!$C$4)=1),INDEX(展開用!$D$2:$D$601,MATCH(ROW()-1,展開用!$E$2:$E$601,0)),"")</f>
        <v/>
      </c>
      <c r="J509" s="11"/>
      <c r="K509" s="11"/>
      <c r="L509" s="11" t="str">
        <f>IF(AND(ROW()-1&lt;=教室申込!$K$5,教室申込!$K$7=0,COUNTA(教室申込!$C$4)=1),INDEX(教室申込!$B$1:$B$212,$AW509),"")</f>
        <v/>
      </c>
      <c r="M509" s="11" t="str">
        <f>IF(AND(ROW()-1&lt;=教室申込!$K$5,教室申込!$K$7=0,COUNTA(教室申込!$C$4)=1),INDEX(教室申込!$C$1:$C$212,$AW509),"")</f>
        <v/>
      </c>
      <c r="N509" s="11"/>
      <c r="O509" s="12" t="str">
        <f>IF(AND(ROW()-1&lt;=教室申込!$K$5,教室申込!$K$7=0,COUNTA(教室申込!$C$4)=1),INDEX(展開用!$G$2:$G$601,MATCH(ROW()-1,展開用!$E$2:$E$601,0)),"")</f>
        <v/>
      </c>
      <c r="P509" s="11"/>
      <c r="Q509" s="11"/>
      <c r="R509" s="11"/>
      <c r="S509" s="11"/>
      <c r="T509" s="11"/>
      <c r="U509" s="11" t="str">
        <f>IF(AND(ROW()-1&lt;=教室申込!$K$5,教室申込!$K$7=0,COUNTA(教室申込!$C$4)=1),INDEX(展開用!$F$2:$F$601,MATCH(ROW()-1,展開用!$E$2:$E$601,0)),"")</f>
        <v/>
      </c>
      <c r="V509" s="11"/>
      <c r="W509" s="11"/>
      <c r="X509" s="11"/>
      <c r="Y509" s="11"/>
      <c r="Z509" s="11"/>
      <c r="AA509" s="11" t="str">
        <f>IF($AW509="","",IF(INDEX(教室申込!$J$1:$J$212,$AW509)="","",INDEX(教室申込!$J$1:$J$212,$AW509)))</f>
        <v/>
      </c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" t="str">
        <f>IF(AND(ROW()-1&lt;=教室申込!$K$5,教室申込!$K$7=0,COUNTA(教室申込!$C$4)=1),INDEX(展開用!$B$2:$B$601,MATCH(ROW()-1,展開用!$E$2:$E$601,0)),"")</f>
        <v/>
      </c>
      <c r="AX509" s="1"/>
      <c r="AY509" s="1"/>
    </row>
    <row r="510" spans="1:51" ht="24" customHeight="1">
      <c r="A510" s="11"/>
      <c r="B510" s="11"/>
      <c r="C510" s="11"/>
      <c r="D510" s="11"/>
      <c r="E510" s="11"/>
      <c r="F510" s="11"/>
      <c r="G510" s="11"/>
      <c r="H510" s="11" t="str">
        <f>IF(AND(ROW()-1&lt;=教室申込!$K$5,教室申込!$K$7=0,COUNTA(教室申込!$C$4)=1),INDEX(展開用!$C$2:$C$601,MATCH(ROW()-1,展開用!$E$2:$E$601,0)),"")</f>
        <v/>
      </c>
      <c r="I510" s="11" t="str">
        <f>IF(AND(ROW()-1&lt;=教室申込!$K$5,教室申込!$K$7=0,COUNTA(教室申込!$C$4)=1),INDEX(展開用!$D$2:$D$601,MATCH(ROW()-1,展開用!$E$2:$E$601,0)),"")</f>
        <v/>
      </c>
      <c r="J510" s="11"/>
      <c r="K510" s="11"/>
      <c r="L510" s="11" t="str">
        <f>IF(AND(ROW()-1&lt;=教室申込!$K$5,教室申込!$K$7=0,COUNTA(教室申込!$C$4)=1),INDEX(教室申込!$B$1:$B$212,$AW510),"")</f>
        <v/>
      </c>
      <c r="M510" s="11" t="str">
        <f>IF(AND(ROW()-1&lt;=教室申込!$K$5,教室申込!$K$7=0,COUNTA(教室申込!$C$4)=1),INDEX(教室申込!$C$1:$C$212,$AW510),"")</f>
        <v/>
      </c>
      <c r="N510" s="11"/>
      <c r="O510" s="12" t="str">
        <f>IF(AND(ROW()-1&lt;=教室申込!$K$5,教室申込!$K$7=0,COUNTA(教室申込!$C$4)=1),INDEX(展開用!$G$2:$G$601,MATCH(ROW()-1,展開用!$E$2:$E$601,0)),"")</f>
        <v/>
      </c>
      <c r="P510" s="11"/>
      <c r="Q510" s="11"/>
      <c r="R510" s="11"/>
      <c r="S510" s="11"/>
      <c r="T510" s="11"/>
      <c r="U510" s="11" t="str">
        <f>IF(AND(ROW()-1&lt;=教室申込!$K$5,教室申込!$K$7=0,COUNTA(教室申込!$C$4)=1),INDEX(展開用!$F$2:$F$601,MATCH(ROW()-1,展開用!$E$2:$E$601,0)),"")</f>
        <v/>
      </c>
      <c r="V510" s="11"/>
      <c r="W510" s="11"/>
      <c r="X510" s="11"/>
      <c r="Y510" s="11"/>
      <c r="Z510" s="11"/>
      <c r="AA510" s="11" t="str">
        <f>IF($AW510="","",IF(INDEX(教室申込!$J$1:$J$212,$AW510)="","",INDEX(教室申込!$J$1:$J$212,$AW510)))</f>
        <v/>
      </c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" t="str">
        <f>IF(AND(ROW()-1&lt;=教室申込!$K$5,教室申込!$K$7=0,COUNTA(教室申込!$C$4)=1),INDEX(展開用!$B$2:$B$601,MATCH(ROW()-1,展開用!$E$2:$E$601,0)),"")</f>
        <v/>
      </c>
      <c r="AX510" s="1"/>
      <c r="AY510" s="1"/>
    </row>
    <row r="511" spans="1:51" ht="24" customHeight="1">
      <c r="A511" s="11"/>
      <c r="B511" s="11"/>
      <c r="C511" s="11"/>
      <c r="D511" s="11"/>
      <c r="E511" s="11"/>
      <c r="F511" s="11"/>
      <c r="G511" s="11"/>
      <c r="H511" s="11" t="str">
        <f>IF(AND(ROW()-1&lt;=教室申込!$K$5,教室申込!$K$7=0,COUNTA(教室申込!$C$4)=1),INDEX(展開用!$C$2:$C$601,MATCH(ROW()-1,展開用!$E$2:$E$601,0)),"")</f>
        <v/>
      </c>
      <c r="I511" s="11" t="str">
        <f>IF(AND(ROW()-1&lt;=教室申込!$K$5,教室申込!$K$7=0,COUNTA(教室申込!$C$4)=1),INDEX(展開用!$D$2:$D$601,MATCH(ROW()-1,展開用!$E$2:$E$601,0)),"")</f>
        <v/>
      </c>
      <c r="J511" s="11"/>
      <c r="K511" s="11"/>
      <c r="L511" s="11" t="str">
        <f>IF(AND(ROW()-1&lt;=教室申込!$K$5,教室申込!$K$7=0,COUNTA(教室申込!$C$4)=1),INDEX(教室申込!$B$1:$B$212,$AW511),"")</f>
        <v/>
      </c>
      <c r="M511" s="11" t="str">
        <f>IF(AND(ROW()-1&lt;=教室申込!$K$5,教室申込!$K$7=0,COUNTA(教室申込!$C$4)=1),INDEX(教室申込!$C$1:$C$212,$AW511),"")</f>
        <v/>
      </c>
      <c r="N511" s="11"/>
      <c r="O511" s="12" t="str">
        <f>IF(AND(ROW()-1&lt;=教室申込!$K$5,教室申込!$K$7=0,COUNTA(教室申込!$C$4)=1),INDEX(展開用!$G$2:$G$601,MATCH(ROW()-1,展開用!$E$2:$E$601,0)),"")</f>
        <v/>
      </c>
      <c r="P511" s="11"/>
      <c r="Q511" s="11"/>
      <c r="R511" s="11"/>
      <c r="S511" s="11"/>
      <c r="T511" s="11"/>
      <c r="U511" s="11" t="str">
        <f>IF(AND(ROW()-1&lt;=教室申込!$K$5,教室申込!$K$7=0,COUNTA(教室申込!$C$4)=1),INDEX(展開用!$F$2:$F$601,MATCH(ROW()-1,展開用!$E$2:$E$601,0)),"")</f>
        <v/>
      </c>
      <c r="V511" s="11"/>
      <c r="W511" s="11"/>
      <c r="X511" s="11"/>
      <c r="Y511" s="11"/>
      <c r="Z511" s="11"/>
      <c r="AA511" s="11" t="str">
        <f>IF($AW511="","",IF(INDEX(教室申込!$J$1:$J$212,$AW511)="","",INDEX(教室申込!$J$1:$J$212,$AW511)))</f>
        <v/>
      </c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" t="str">
        <f>IF(AND(ROW()-1&lt;=教室申込!$K$5,教室申込!$K$7=0,COUNTA(教室申込!$C$4)=1),INDEX(展開用!$B$2:$B$601,MATCH(ROW()-1,展開用!$E$2:$E$601,0)),"")</f>
        <v/>
      </c>
      <c r="AX511" s="1"/>
      <c r="AY511" s="1"/>
    </row>
    <row r="512" spans="1:51" ht="24" customHeight="1">
      <c r="A512" s="11"/>
      <c r="B512" s="11"/>
      <c r="C512" s="11"/>
      <c r="D512" s="11"/>
      <c r="E512" s="11"/>
      <c r="F512" s="11"/>
      <c r="G512" s="11"/>
      <c r="H512" s="11" t="str">
        <f>IF(AND(ROW()-1&lt;=教室申込!$K$5,教室申込!$K$7=0,COUNTA(教室申込!$C$4)=1),INDEX(展開用!$C$2:$C$601,MATCH(ROW()-1,展開用!$E$2:$E$601,0)),"")</f>
        <v/>
      </c>
      <c r="I512" s="11" t="str">
        <f>IF(AND(ROW()-1&lt;=教室申込!$K$5,教室申込!$K$7=0,COUNTA(教室申込!$C$4)=1),INDEX(展開用!$D$2:$D$601,MATCH(ROW()-1,展開用!$E$2:$E$601,0)),"")</f>
        <v/>
      </c>
      <c r="J512" s="11"/>
      <c r="K512" s="11"/>
      <c r="L512" s="11" t="str">
        <f>IF(AND(ROW()-1&lt;=教室申込!$K$5,教室申込!$K$7=0,COUNTA(教室申込!$C$4)=1),INDEX(教室申込!$B$1:$B$212,$AW512),"")</f>
        <v/>
      </c>
      <c r="M512" s="11" t="str">
        <f>IF(AND(ROW()-1&lt;=教室申込!$K$5,教室申込!$K$7=0,COUNTA(教室申込!$C$4)=1),INDEX(教室申込!$C$1:$C$212,$AW512),"")</f>
        <v/>
      </c>
      <c r="N512" s="11"/>
      <c r="O512" s="12" t="str">
        <f>IF(AND(ROW()-1&lt;=教室申込!$K$5,教室申込!$K$7=0,COUNTA(教室申込!$C$4)=1),INDEX(展開用!$G$2:$G$601,MATCH(ROW()-1,展開用!$E$2:$E$601,0)),"")</f>
        <v/>
      </c>
      <c r="P512" s="11"/>
      <c r="Q512" s="11"/>
      <c r="R512" s="11"/>
      <c r="S512" s="11"/>
      <c r="T512" s="11"/>
      <c r="U512" s="11" t="str">
        <f>IF(AND(ROW()-1&lt;=教室申込!$K$5,教室申込!$K$7=0,COUNTA(教室申込!$C$4)=1),INDEX(展開用!$F$2:$F$601,MATCH(ROW()-1,展開用!$E$2:$E$601,0)),"")</f>
        <v/>
      </c>
      <c r="V512" s="11"/>
      <c r="W512" s="11"/>
      <c r="X512" s="11"/>
      <c r="Y512" s="11"/>
      <c r="Z512" s="11"/>
      <c r="AA512" s="11" t="str">
        <f>IF($AW512="","",IF(INDEX(教室申込!$J$1:$J$212,$AW512)="","",INDEX(教室申込!$J$1:$J$212,$AW512)))</f>
        <v/>
      </c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" t="str">
        <f>IF(AND(ROW()-1&lt;=教室申込!$K$5,教室申込!$K$7=0,COUNTA(教室申込!$C$4)=1),INDEX(展開用!$B$2:$B$601,MATCH(ROW()-1,展開用!$E$2:$E$601,0)),"")</f>
        <v/>
      </c>
      <c r="AX512" s="1"/>
      <c r="AY512" s="1"/>
    </row>
    <row r="513" spans="1:51" ht="24" customHeight="1">
      <c r="A513" s="11"/>
      <c r="B513" s="11"/>
      <c r="C513" s="11"/>
      <c r="D513" s="11"/>
      <c r="E513" s="11"/>
      <c r="F513" s="11"/>
      <c r="G513" s="11"/>
      <c r="H513" s="11" t="str">
        <f>IF(AND(ROW()-1&lt;=教室申込!$K$5,教室申込!$K$7=0,COUNTA(教室申込!$C$4)=1),INDEX(展開用!$C$2:$C$601,MATCH(ROW()-1,展開用!$E$2:$E$601,0)),"")</f>
        <v/>
      </c>
      <c r="I513" s="11" t="str">
        <f>IF(AND(ROW()-1&lt;=教室申込!$K$5,教室申込!$K$7=0,COUNTA(教室申込!$C$4)=1),INDEX(展開用!$D$2:$D$601,MATCH(ROW()-1,展開用!$E$2:$E$601,0)),"")</f>
        <v/>
      </c>
      <c r="J513" s="11"/>
      <c r="K513" s="11"/>
      <c r="L513" s="11" t="str">
        <f>IF(AND(ROW()-1&lt;=教室申込!$K$5,教室申込!$K$7=0,COUNTA(教室申込!$C$4)=1),INDEX(教室申込!$B$1:$B$212,$AW513),"")</f>
        <v/>
      </c>
      <c r="M513" s="11" t="str">
        <f>IF(AND(ROW()-1&lt;=教室申込!$K$5,教室申込!$K$7=0,COUNTA(教室申込!$C$4)=1),INDEX(教室申込!$C$1:$C$212,$AW513),"")</f>
        <v/>
      </c>
      <c r="N513" s="11"/>
      <c r="O513" s="12" t="str">
        <f>IF(AND(ROW()-1&lt;=教室申込!$K$5,教室申込!$K$7=0,COUNTA(教室申込!$C$4)=1),INDEX(展開用!$G$2:$G$601,MATCH(ROW()-1,展開用!$E$2:$E$601,0)),"")</f>
        <v/>
      </c>
      <c r="P513" s="11"/>
      <c r="Q513" s="11"/>
      <c r="R513" s="11"/>
      <c r="S513" s="11"/>
      <c r="T513" s="11"/>
      <c r="U513" s="11" t="str">
        <f>IF(AND(ROW()-1&lt;=教室申込!$K$5,教室申込!$K$7=0,COUNTA(教室申込!$C$4)=1),INDEX(展開用!$F$2:$F$601,MATCH(ROW()-1,展開用!$E$2:$E$601,0)),"")</f>
        <v/>
      </c>
      <c r="V513" s="11"/>
      <c r="W513" s="11"/>
      <c r="X513" s="11"/>
      <c r="Y513" s="11"/>
      <c r="Z513" s="11"/>
      <c r="AA513" s="11" t="str">
        <f>IF($AW513="","",IF(INDEX(教室申込!$J$1:$J$212,$AW513)="","",INDEX(教室申込!$J$1:$J$212,$AW513)))</f>
        <v/>
      </c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" t="str">
        <f>IF(AND(ROW()-1&lt;=教室申込!$K$5,教室申込!$K$7=0,COUNTA(教室申込!$C$4)=1),INDEX(展開用!$B$2:$B$601,MATCH(ROW()-1,展開用!$E$2:$E$601,0)),"")</f>
        <v/>
      </c>
      <c r="AX513" s="1"/>
      <c r="AY513" s="1"/>
    </row>
    <row r="514" spans="1:51" ht="24" customHeight="1">
      <c r="A514" s="11"/>
      <c r="B514" s="11"/>
      <c r="C514" s="11"/>
      <c r="D514" s="11"/>
      <c r="E514" s="11"/>
      <c r="F514" s="11"/>
      <c r="G514" s="11"/>
      <c r="H514" s="11" t="str">
        <f>IF(AND(ROW()-1&lt;=教室申込!$K$5,教室申込!$K$7=0,COUNTA(教室申込!$C$4)=1),INDEX(展開用!$C$2:$C$601,MATCH(ROW()-1,展開用!$E$2:$E$601,0)),"")</f>
        <v/>
      </c>
      <c r="I514" s="11" t="str">
        <f>IF(AND(ROW()-1&lt;=教室申込!$K$5,教室申込!$K$7=0,COUNTA(教室申込!$C$4)=1),INDEX(展開用!$D$2:$D$601,MATCH(ROW()-1,展開用!$E$2:$E$601,0)),"")</f>
        <v/>
      </c>
      <c r="J514" s="11"/>
      <c r="K514" s="11"/>
      <c r="L514" s="11" t="str">
        <f>IF(AND(ROW()-1&lt;=教室申込!$K$5,教室申込!$K$7=0,COUNTA(教室申込!$C$4)=1),INDEX(教室申込!$B$1:$B$212,$AW514),"")</f>
        <v/>
      </c>
      <c r="M514" s="11" t="str">
        <f>IF(AND(ROW()-1&lt;=教室申込!$K$5,教室申込!$K$7=0,COUNTA(教室申込!$C$4)=1),INDEX(教室申込!$C$1:$C$212,$AW514),"")</f>
        <v/>
      </c>
      <c r="N514" s="11"/>
      <c r="O514" s="12" t="str">
        <f>IF(AND(ROW()-1&lt;=教室申込!$K$5,教室申込!$K$7=0,COUNTA(教室申込!$C$4)=1),INDEX(展開用!$G$2:$G$601,MATCH(ROW()-1,展開用!$E$2:$E$601,0)),"")</f>
        <v/>
      </c>
      <c r="P514" s="11"/>
      <c r="Q514" s="11"/>
      <c r="R514" s="11"/>
      <c r="S514" s="11"/>
      <c r="T514" s="11"/>
      <c r="U514" s="11" t="str">
        <f>IF(AND(ROW()-1&lt;=教室申込!$K$5,教室申込!$K$7=0,COUNTA(教室申込!$C$4)=1),INDEX(展開用!$F$2:$F$601,MATCH(ROW()-1,展開用!$E$2:$E$601,0)),"")</f>
        <v/>
      </c>
      <c r="V514" s="11"/>
      <c r="W514" s="11"/>
      <c r="X514" s="11"/>
      <c r="Y514" s="11"/>
      <c r="Z514" s="11"/>
      <c r="AA514" s="11" t="str">
        <f>IF($AW514="","",IF(INDEX(教室申込!$J$1:$J$212,$AW514)="","",INDEX(教室申込!$J$1:$J$212,$AW514)))</f>
        <v/>
      </c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" t="str">
        <f>IF(AND(ROW()-1&lt;=教室申込!$K$5,教室申込!$K$7=0,COUNTA(教室申込!$C$4)=1),INDEX(展開用!$B$2:$B$601,MATCH(ROW()-1,展開用!$E$2:$E$601,0)),"")</f>
        <v/>
      </c>
      <c r="AX514" s="1"/>
      <c r="AY514" s="1"/>
    </row>
    <row r="515" spans="1:51" ht="24" customHeight="1">
      <c r="A515" s="11"/>
      <c r="B515" s="11"/>
      <c r="C515" s="11"/>
      <c r="D515" s="11"/>
      <c r="E515" s="11"/>
      <c r="F515" s="11"/>
      <c r="G515" s="11"/>
      <c r="H515" s="11" t="str">
        <f>IF(AND(ROW()-1&lt;=教室申込!$K$5,教室申込!$K$7=0,COUNTA(教室申込!$C$4)=1),INDEX(展開用!$C$2:$C$601,MATCH(ROW()-1,展開用!$E$2:$E$601,0)),"")</f>
        <v/>
      </c>
      <c r="I515" s="11" t="str">
        <f>IF(AND(ROW()-1&lt;=教室申込!$K$5,教室申込!$K$7=0,COUNTA(教室申込!$C$4)=1),INDEX(展開用!$D$2:$D$601,MATCH(ROW()-1,展開用!$E$2:$E$601,0)),"")</f>
        <v/>
      </c>
      <c r="J515" s="11"/>
      <c r="K515" s="11"/>
      <c r="L515" s="11" t="str">
        <f>IF(AND(ROW()-1&lt;=教室申込!$K$5,教室申込!$K$7=0,COUNTA(教室申込!$C$4)=1),INDEX(教室申込!$B$1:$B$212,$AW515),"")</f>
        <v/>
      </c>
      <c r="M515" s="11" t="str">
        <f>IF(AND(ROW()-1&lt;=教室申込!$K$5,教室申込!$K$7=0,COUNTA(教室申込!$C$4)=1),INDEX(教室申込!$C$1:$C$212,$AW515),"")</f>
        <v/>
      </c>
      <c r="N515" s="11"/>
      <c r="O515" s="12" t="str">
        <f>IF(AND(ROW()-1&lt;=教室申込!$K$5,教室申込!$K$7=0,COUNTA(教室申込!$C$4)=1),INDEX(展開用!$G$2:$G$601,MATCH(ROW()-1,展開用!$E$2:$E$601,0)),"")</f>
        <v/>
      </c>
      <c r="P515" s="11"/>
      <c r="Q515" s="11"/>
      <c r="R515" s="11"/>
      <c r="S515" s="11"/>
      <c r="T515" s="11"/>
      <c r="U515" s="11" t="str">
        <f>IF(AND(ROW()-1&lt;=教室申込!$K$5,教室申込!$K$7=0,COUNTA(教室申込!$C$4)=1),INDEX(展開用!$F$2:$F$601,MATCH(ROW()-1,展開用!$E$2:$E$601,0)),"")</f>
        <v/>
      </c>
      <c r="V515" s="11"/>
      <c r="W515" s="11"/>
      <c r="X515" s="11"/>
      <c r="Y515" s="11"/>
      <c r="Z515" s="11"/>
      <c r="AA515" s="11" t="str">
        <f>IF($AW515="","",IF(INDEX(教室申込!$J$1:$J$212,$AW515)="","",INDEX(教室申込!$J$1:$J$212,$AW515)))</f>
        <v/>
      </c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" t="str">
        <f>IF(AND(ROW()-1&lt;=教室申込!$K$5,教室申込!$K$7=0,COUNTA(教室申込!$C$4)=1),INDEX(展開用!$B$2:$B$601,MATCH(ROW()-1,展開用!$E$2:$E$601,0)),"")</f>
        <v/>
      </c>
      <c r="AX515" s="1"/>
      <c r="AY515" s="1"/>
    </row>
    <row r="516" spans="1:51" ht="24" customHeight="1">
      <c r="A516" s="11"/>
      <c r="B516" s="11"/>
      <c r="C516" s="11"/>
      <c r="D516" s="11"/>
      <c r="E516" s="11"/>
      <c r="F516" s="11"/>
      <c r="G516" s="11"/>
      <c r="H516" s="11" t="str">
        <f>IF(AND(ROW()-1&lt;=教室申込!$K$5,教室申込!$K$7=0,COUNTA(教室申込!$C$4)=1),INDEX(展開用!$C$2:$C$601,MATCH(ROW()-1,展開用!$E$2:$E$601,0)),"")</f>
        <v/>
      </c>
      <c r="I516" s="11" t="str">
        <f>IF(AND(ROW()-1&lt;=教室申込!$K$5,教室申込!$K$7=0,COUNTA(教室申込!$C$4)=1),INDEX(展開用!$D$2:$D$601,MATCH(ROW()-1,展開用!$E$2:$E$601,0)),"")</f>
        <v/>
      </c>
      <c r="J516" s="11"/>
      <c r="K516" s="11"/>
      <c r="L516" s="11" t="str">
        <f>IF(AND(ROW()-1&lt;=教室申込!$K$5,教室申込!$K$7=0,COUNTA(教室申込!$C$4)=1),INDEX(教室申込!$B$1:$B$212,$AW516),"")</f>
        <v/>
      </c>
      <c r="M516" s="11" t="str">
        <f>IF(AND(ROW()-1&lt;=教室申込!$K$5,教室申込!$K$7=0,COUNTA(教室申込!$C$4)=1),INDEX(教室申込!$C$1:$C$212,$AW516),"")</f>
        <v/>
      </c>
      <c r="N516" s="11"/>
      <c r="O516" s="12" t="str">
        <f>IF(AND(ROW()-1&lt;=教室申込!$K$5,教室申込!$K$7=0,COUNTA(教室申込!$C$4)=1),INDEX(展開用!$G$2:$G$601,MATCH(ROW()-1,展開用!$E$2:$E$601,0)),"")</f>
        <v/>
      </c>
      <c r="P516" s="11"/>
      <c r="Q516" s="11"/>
      <c r="R516" s="11"/>
      <c r="S516" s="11"/>
      <c r="T516" s="11"/>
      <c r="U516" s="11" t="str">
        <f>IF(AND(ROW()-1&lt;=教室申込!$K$5,教室申込!$K$7=0,COUNTA(教室申込!$C$4)=1),INDEX(展開用!$F$2:$F$601,MATCH(ROW()-1,展開用!$E$2:$E$601,0)),"")</f>
        <v/>
      </c>
      <c r="V516" s="11"/>
      <c r="W516" s="11"/>
      <c r="X516" s="11"/>
      <c r="Y516" s="11"/>
      <c r="Z516" s="11"/>
      <c r="AA516" s="11" t="str">
        <f>IF($AW516="","",IF(INDEX(教室申込!$J$1:$J$212,$AW516)="","",INDEX(教室申込!$J$1:$J$212,$AW516)))</f>
        <v/>
      </c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" t="str">
        <f>IF(AND(ROW()-1&lt;=教室申込!$K$5,教室申込!$K$7=0,COUNTA(教室申込!$C$4)=1),INDEX(展開用!$B$2:$B$601,MATCH(ROW()-1,展開用!$E$2:$E$601,0)),"")</f>
        <v/>
      </c>
      <c r="AX516" s="1"/>
      <c r="AY516" s="1"/>
    </row>
    <row r="517" spans="1:51" ht="24" customHeight="1">
      <c r="A517" s="11"/>
      <c r="B517" s="11"/>
      <c r="C517" s="11"/>
      <c r="D517" s="11"/>
      <c r="E517" s="11"/>
      <c r="F517" s="11"/>
      <c r="G517" s="11"/>
      <c r="H517" s="11" t="str">
        <f>IF(AND(ROW()-1&lt;=教室申込!$K$5,教室申込!$K$7=0,COUNTA(教室申込!$C$4)=1),INDEX(展開用!$C$2:$C$601,MATCH(ROW()-1,展開用!$E$2:$E$601,0)),"")</f>
        <v/>
      </c>
      <c r="I517" s="11" t="str">
        <f>IF(AND(ROW()-1&lt;=教室申込!$K$5,教室申込!$K$7=0,COUNTA(教室申込!$C$4)=1),INDEX(展開用!$D$2:$D$601,MATCH(ROW()-1,展開用!$E$2:$E$601,0)),"")</f>
        <v/>
      </c>
      <c r="J517" s="11"/>
      <c r="K517" s="11"/>
      <c r="L517" s="11" t="str">
        <f>IF(AND(ROW()-1&lt;=教室申込!$K$5,教室申込!$K$7=0,COUNTA(教室申込!$C$4)=1),INDEX(教室申込!$B$1:$B$212,$AW517),"")</f>
        <v/>
      </c>
      <c r="M517" s="11" t="str">
        <f>IF(AND(ROW()-1&lt;=教室申込!$K$5,教室申込!$K$7=0,COUNTA(教室申込!$C$4)=1),INDEX(教室申込!$C$1:$C$212,$AW517),"")</f>
        <v/>
      </c>
      <c r="N517" s="11"/>
      <c r="O517" s="12" t="str">
        <f>IF(AND(ROW()-1&lt;=教室申込!$K$5,教室申込!$K$7=0,COUNTA(教室申込!$C$4)=1),INDEX(展開用!$G$2:$G$601,MATCH(ROW()-1,展開用!$E$2:$E$601,0)),"")</f>
        <v/>
      </c>
      <c r="P517" s="11"/>
      <c r="Q517" s="11"/>
      <c r="R517" s="11"/>
      <c r="S517" s="11"/>
      <c r="T517" s="11"/>
      <c r="U517" s="11" t="str">
        <f>IF(AND(ROW()-1&lt;=教室申込!$K$5,教室申込!$K$7=0,COUNTA(教室申込!$C$4)=1),INDEX(展開用!$F$2:$F$601,MATCH(ROW()-1,展開用!$E$2:$E$601,0)),"")</f>
        <v/>
      </c>
      <c r="V517" s="11"/>
      <c r="W517" s="11"/>
      <c r="X517" s="11"/>
      <c r="Y517" s="11"/>
      <c r="Z517" s="11"/>
      <c r="AA517" s="11" t="str">
        <f>IF($AW517="","",IF(INDEX(教室申込!$J$1:$J$212,$AW517)="","",INDEX(教室申込!$J$1:$J$212,$AW517)))</f>
        <v/>
      </c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" t="str">
        <f>IF(AND(ROW()-1&lt;=教室申込!$K$5,教室申込!$K$7=0,COUNTA(教室申込!$C$4)=1),INDEX(展開用!$B$2:$B$601,MATCH(ROW()-1,展開用!$E$2:$E$601,0)),"")</f>
        <v/>
      </c>
      <c r="AX517" s="1"/>
      <c r="AY517" s="1"/>
    </row>
    <row r="518" spans="1:51" ht="24" customHeight="1">
      <c r="A518" s="11"/>
      <c r="B518" s="11"/>
      <c r="C518" s="11"/>
      <c r="D518" s="11"/>
      <c r="E518" s="11"/>
      <c r="F518" s="11"/>
      <c r="G518" s="11"/>
      <c r="H518" s="11" t="str">
        <f>IF(AND(ROW()-1&lt;=教室申込!$K$5,教室申込!$K$7=0,COUNTA(教室申込!$C$4)=1),INDEX(展開用!$C$2:$C$601,MATCH(ROW()-1,展開用!$E$2:$E$601,0)),"")</f>
        <v/>
      </c>
      <c r="I518" s="11" t="str">
        <f>IF(AND(ROW()-1&lt;=教室申込!$K$5,教室申込!$K$7=0,COUNTA(教室申込!$C$4)=1),INDEX(展開用!$D$2:$D$601,MATCH(ROW()-1,展開用!$E$2:$E$601,0)),"")</f>
        <v/>
      </c>
      <c r="J518" s="11"/>
      <c r="K518" s="11"/>
      <c r="L518" s="11" t="str">
        <f>IF(AND(ROW()-1&lt;=教室申込!$K$5,教室申込!$K$7=0,COUNTA(教室申込!$C$4)=1),INDEX(教室申込!$B$1:$B$212,$AW518),"")</f>
        <v/>
      </c>
      <c r="M518" s="11" t="str">
        <f>IF(AND(ROW()-1&lt;=教室申込!$K$5,教室申込!$K$7=0,COUNTA(教室申込!$C$4)=1),INDEX(教室申込!$C$1:$C$212,$AW518),"")</f>
        <v/>
      </c>
      <c r="N518" s="11"/>
      <c r="O518" s="12" t="str">
        <f>IF(AND(ROW()-1&lt;=教室申込!$K$5,教室申込!$K$7=0,COUNTA(教室申込!$C$4)=1),INDEX(展開用!$G$2:$G$601,MATCH(ROW()-1,展開用!$E$2:$E$601,0)),"")</f>
        <v/>
      </c>
      <c r="P518" s="11"/>
      <c r="Q518" s="11"/>
      <c r="R518" s="11"/>
      <c r="S518" s="11"/>
      <c r="T518" s="11"/>
      <c r="U518" s="11" t="str">
        <f>IF(AND(ROW()-1&lt;=教室申込!$K$5,教室申込!$K$7=0,COUNTA(教室申込!$C$4)=1),INDEX(展開用!$F$2:$F$601,MATCH(ROW()-1,展開用!$E$2:$E$601,0)),"")</f>
        <v/>
      </c>
      <c r="V518" s="11"/>
      <c r="W518" s="11"/>
      <c r="X518" s="11"/>
      <c r="Y518" s="11"/>
      <c r="Z518" s="11"/>
      <c r="AA518" s="11" t="str">
        <f>IF($AW518="","",IF(INDEX(教室申込!$J$1:$J$212,$AW518)="","",INDEX(教室申込!$J$1:$J$212,$AW518)))</f>
        <v/>
      </c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" t="str">
        <f>IF(AND(ROW()-1&lt;=教室申込!$K$5,教室申込!$K$7=0,COUNTA(教室申込!$C$4)=1),INDEX(展開用!$B$2:$B$601,MATCH(ROW()-1,展開用!$E$2:$E$601,0)),"")</f>
        <v/>
      </c>
      <c r="AX518" s="1"/>
      <c r="AY518" s="1"/>
    </row>
    <row r="519" spans="1:51" ht="24" customHeight="1">
      <c r="A519" s="11"/>
      <c r="B519" s="11"/>
      <c r="C519" s="11"/>
      <c r="D519" s="11"/>
      <c r="E519" s="11"/>
      <c r="F519" s="11"/>
      <c r="G519" s="11"/>
      <c r="H519" s="11" t="str">
        <f>IF(AND(ROW()-1&lt;=教室申込!$K$5,教室申込!$K$7=0,COUNTA(教室申込!$C$4)=1),INDEX(展開用!$C$2:$C$601,MATCH(ROW()-1,展開用!$E$2:$E$601,0)),"")</f>
        <v/>
      </c>
      <c r="I519" s="11" t="str">
        <f>IF(AND(ROW()-1&lt;=教室申込!$K$5,教室申込!$K$7=0,COUNTA(教室申込!$C$4)=1),INDEX(展開用!$D$2:$D$601,MATCH(ROW()-1,展開用!$E$2:$E$601,0)),"")</f>
        <v/>
      </c>
      <c r="J519" s="11"/>
      <c r="K519" s="11"/>
      <c r="L519" s="11" t="str">
        <f>IF(AND(ROW()-1&lt;=教室申込!$K$5,教室申込!$K$7=0,COUNTA(教室申込!$C$4)=1),INDEX(教室申込!$B$1:$B$212,$AW519),"")</f>
        <v/>
      </c>
      <c r="M519" s="11" t="str">
        <f>IF(AND(ROW()-1&lt;=教室申込!$K$5,教室申込!$K$7=0,COUNTA(教室申込!$C$4)=1),INDEX(教室申込!$C$1:$C$212,$AW519),"")</f>
        <v/>
      </c>
      <c r="N519" s="11"/>
      <c r="O519" s="12" t="str">
        <f>IF(AND(ROW()-1&lt;=教室申込!$K$5,教室申込!$K$7=0,COUNTA(教室申込!$C$4)=1),INDEX(展開用!$G$2:$G$601,MATCH(ROW()-1,展開用!$E$2:$E$601,0)),"")</f>
        <v/>
      </c>
      <c r="P519" s="11"/>
      <c r="Q519" s="11"/>
      <c r="R519" s="11"/>
      <c r="S519" s="11"/>
      <c r="T519" s="11"/>
      <c r="U519" s="11" t="str">
        <f>IF(AND(ROW()-1&lt;=教室申込!$K$5,教室申込!$K$7=0,COUNTA(教室申込!$C$4)=1),INDEX(展開用!$F$2:$F$601,MATCH(ROW()-1,展開用!$E$2:$E$601,0)),"")</f>
        <v/>
      </c>
      <c r="V519" s="11"/>
      <c r="W519" s="11"/>
      <c r="X519" s="11"/>
      <c r="Y519" s="11"/>
      <c r="Z519" s="11"/>
      <c r="AA519" s="11" t="str">
        <f>IF($AW519="","",IF(INDEX(教室申込!$J$1:$J$212,$AW519)="","",INDEX(教室申込!$J$1:$J$212,$AW519)))</f>
        <v/>
      </c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" t="str">
        <f>IF(AND(ROW()-1&lt;=教室申込!$K$5,教室申込!$K$7=0,COUNTA(教室申込!$C$4)=1),INDEX(展開用!$B$2:$B$601,MATCH(ROW()-1,展開用!$E$2:$E$601,0)),"")</f>
        <v/>
      </c>
      <c r="AX519" s="1"/>
      <c r="AY519" s="1"/>
    </row>
    <row r="520" spans="1:51" ht="24" customHeight="1">
      <c r="A520" s="11"/>
      <c r="B520" s="11"/>
      <c r="C520" s="11"/>
      <c r="D520" s="11"/>
      <c r="E520" s="11"/>
      <c r="F520" s="11"/>
      <c r="G520" s="11"/>
      <c r="H520" s="11" t="str">
        <f>IF(AND(ROW()-1&lt;=教室申込!$K$5,教室申込!$K$7=0,COUNTA(教室申込!$C$4)=1),INDEX(展開用!$C$2:$C$601,MATCH(ROW()-1,展開用!$E$2:$E$601,0)),"")</f>
        <v/>
      </c>
      <c r="I520" s="11" t="str">
        <f>IF(AND(ROW()-1&lt;=教室申込!$K$5,教室申込!$K$7=0,COUNTA(教室申込!$C$4)=1),INDEX(展開用!$D$2:$D$601,MATCH(ROW()-1,展開用!$E$2:$E$601,0)),"")</f>
        <v/>
      </c>
      <c r="J520" s="11"/>
      <c r="K520" s="11"/>
      <c r="L520" s="11" t="str">
        <f>IF(AND(ROW()-1&lt;=教室申込!$K$5,教室申込!$K$7=0,COUNTA(教室申込!$C$4)=1),INDEX(教室申込!$B$1:$B$212,$AW520),"")</f>
        <v/>
      </c>
      <c r="M520" s="11" t="str">
        <f>IF(AND(ROW()-1&lt;=教室申込!$K$5,教室申込!$K$7=0,COUNTA(教室申込!$C$4)=1),INDEX(教室申込!$C$1:$C$212,$AW520),"")</f>
        <v/>
      </c>
      <c r="N520" s="11"/>
      <c r="O520" s="12" t="str">
        <f>IF(AND(ROW()-1&lt;=教室申込!$K$5,教室申込!$K$7=0,COUNTA(教室申込!$C$4)=1),INDEX(展開用!$G$2:$G$601,MATCH(ROW()-1,展開用!$E$2:$E$601,0)),"")</f>
        <v/>
      </c>
      <c r="P520" s="11"/>
      <c r="Q520" s="11"/>
      <c r="R520" s="11"/>
      <c r="S520" s="11"/>
      <c r="T520" s="11"/>
      <c r="U520" s="11" t="str">
        <f>IF(AND(ROW()-1&lt;=教室申込!$K$5,教室申込!$K$7=0,COUNTA(教室申込!$C$4)=1),INDEX(展開用!$F$2:$F$601,MATCH(ROW()-1,展開用!$E$2:$E$601,0)),"")</f>
        <v/>
      </c>
      <c r="V520" s="11"/>
      <c r="W520" s="11"/>
      <c r="X520" s="11"/>
      <c r="Y520" s="11"/>
      <c r="Z520" s="11"/>
      <c r="AA520" s="11" t="str">
        <f>IF($AW520="","",IF(INDEX(教室申込!$J$1:$J$212,$AW520)="","",INDEX(教室申込!$J$1:$J$212,$AW520)))</f>
        <v/>
      </c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" t="str">
        <f>IF(AND(ROW()-1&lt;=教室申込!$K$5,教室申込!$K$7=0,COUNTA(教室申込!$C$4)=1),INDEX(展開用!$B$2:$B$601,MATCH(ROW()-1,展開用!$E$2:$E$601,0)),"")</f>
        <v/>
      </c>
      <c r="AX520" s="1"/>
      <c r="AY520" s="1"/>
    </row>
    <row r="521" spans="1:51" ht="24" customHeight="1">
      <c r="A521" s="11"/>
      <c r="B521" s="11"/>
      <c r="C521" s="11"/>
      <c r="D521" s="11"/>
      <c r="E521" s="11"/>
      <c r="F521" s="11"/>
      <c r="G521" s="11"/>
      <c r="H521" s="11" t="str">
        <f>IF(AND(ROW()-1&lt;=教室申込!$K$5,教室申込!$K$7=0,COUNTA(教室申込!$C$4)=1),INDEX(展開用!$C$2:$C$601,MATCH(ROW()-1,展開用!$E$2:$E$601,0)),"")</f>
        <v/>
      </c>
      <c r="I521" s="11" t="str">
        <f>IF(AND(ROW()-1&lt;=教室申込!$K$5,教室申込!$K$7=0,COUNTA(教室申込!$C$4)=1),INDEX(展開用!$D$2:$D$601,MATCH(ROW()-1,展開用!$E$2:$E$601,0)),"")</f>
        <v/>
      </c>
      <c r="J521" s="11"/>
      <c r="K521" s="11"/>
      <c r="L521" s="11" t="str">
        <f>IF(AND(ROW()-1&lt;=教室申込!$K$5,教室申込!$K$7=0,COUNTA(教室申込!$C$4)=1),INDEX(教室申込!$B$1:$B$212,$AW521),"")</f>
        <v/>
      </c>
      <c r="M521" s="11" t="str">
        <f>IF(AND(ROW()-1&lt;=教室申込!$K$5,教室申込!$K$7=0,COUNTA(教室申込!$C$4)=1),INDEX(教室申込!$C$1:$C$212,$AW521),"")</f>
        <v/>
      </c>
      <c r="N521" s="11"/>
      <c r="O521" s="12" t="str">
        <f>IF(AND(ROW()-1&lt;=教室申込!$K$5,教室申込!$K$7=0,COUNTA(教室申込!$C$4)=1),INDEX(展開用!$G$2:$G$601,MATCH(ROW()-1,展開用!$E$2:$E$601,0)),"")</f>
        <v/>
      </c>
      <c r="P521" s="11"/>
      <c r="Q521" s="11"/>
      <c r="R521" s="11"/>
      <c r="S521" s="11"/>
      <c r="T521" s="11"/>
      <c r="U521" s="11" t="str">
        <f>IF(AND(ROW()-1&lt;=教室申込!$K$5,教室申込!$K$7=0,COUNTA(教室申込!$C$4)=1),INDEX(展開用!$F$2:$F$601,MATCH(ROW()-1,展開用!$E$2:$E$601,0)),"")</f>
        <v/>
      </c>
      <c r="V521" s="11"/>
      <c r="W521" s="11"/>
      <c r="X521" s="11"/>
      <c r="Y521" s="11"/>
      <c r="Z521" s="11"/>
      <c r="AA521" s="11" t="str">
        <f>IF($AW521="","",IF(INDEX(教室申込!$J$1:$J$212,$AW521)="","",INDEX(教室申込!$J$1:$J$212,$AW521)))</f>
        <v/>
      </c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" t="str">
        <f>IF(AND(ROW()-1&lt;=教室申込!$K$5,教室申込!$K$7=0,COUNTA(教室申込!$C$4)=1),INDEX(展開用!$B$2:$B$601,MATCH(ROW()-1,展開用!$E$2:$E$601,0)),"")</f>
        <v/>
      </c>
      <c r="AX521" s="1"/>
      <c r="AY521" s="1"/>
    </row>
    <row r="522" spans="1:51" ht="24" customHeight="1">
      <c r="A522" s="11"/>
      <c r="B522" s="11"/>
      <c r="C522" s="11"/>
      <c r="D522" s="11"/>
      <c r="E522" s="11"/>
      <c r="F522" s="11"/>
      <c r="G522" s="11"/>
      <c r="H522" s="11" t="str">
        <f>IF(AND(ROW()-1&lt;=教室申込!$K$5,教室申込!$K$7=0,COUNTA(教室申込!$C$4)=1),INDEX(展開用!$C$2:$C$601,MATCH(ROW()-1,展開用!$E$2:$E$601,0)),"")</f>
        <v/>
      </c>
      <c r="I522" s="11" t="str">
        <f>IF(AND(ROW()-1&lt;=教室申込!$K$5,教室申込!$K$7=0,COUNTA(教室申込!$C$4)=1),INDEX(展開用!$D$2:$D$601,MATCH(ROW()-1,展開用!$E$2:$E$601,0)),"")</f>
        <v/>
      </c>
      <c r="J522" s="11"/>
      <c r="K522" s="11"/>
      <c r="L522" s="11" t="str">
        <f>IF(AND(ROW()-1&lt;=教室申込!$K$5,教室申込!$K$7=0,COUNTA(教室申込!$C$4)=1),INDEX(教室申込!$B$1:$B$212,$AW522),"")</f>
        <v/>
      </c>
      <c r="M522" s="11" t="str">
        <f>IF(AND(ROW()-1&lt;=教室申込!$K$5,教室申込!$K$7=0,COUNTA(教室申込!$C$4)=1),INDEX(教室申込!$C$1:$C$212,$AW522),"")</f>
        <v/>
      </c>
      <c r="N522" s="11"/>
      <c r="O522" s="12" t="str">
        <f>IF(AND(ROW()-1&lt;=教室申込!$K$5,教室申込!$K$7=0,COUNTA(教室申込!$C$4)=1),INDEX(展開用!$G$2:$G$601,MATCH(ROW()-1,展開用!$E$2:$E$601,0)),"")</f>
        <v/>
      </c>
      <c r="P522" s="11"/>
      <c r="Q522" s="11"/>
      <c r="R522" s="11"/>
      <c r="S522" s="11"/>
      <c r="T522" s="11"/>
      <c r="U522" s="11" t="str">
        <f>IF(AND(ROW()-1&lt;=教室申込!$K$5,教室申込!$K$7=0,COUNTA(教室申込!$C$4)=1),INDEX(展開用!$F$2:$F$601,MATCH(ROW()-1,展開用!$E$2:$E$601,0)),"")</f>
        <v/>
      </c>
      <c r="V522" s="11"/>
      <c r="W522" s="11"/>
      <c r="X522" s="11"/>
      <c r="Y522" s="11"/>
      <c r="Z522" s="11"/>
      <c r="AA522" s="11" t="str">
        <f>IF($AW522="","",IF(INDEX(教室申込!$J$1:$J$212,$AW522)="","",INDEX(教室申込!$J$1:$J$212,$AW522)))</f>
        <v/>
      </c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" t="str">
        <f>IF(AND(ROW()-1&lt;=教室申込!$K$5,教室申込!$K$7=0,COUNTA(教室申込!$C$4)=1),INDEX(展開用!$B$2:$B$601,MATCH(ROW()-1,展開用!$E$2:$E$601,0)),"")</f>
        <v/>
      </c>
      <c r="AX522" s="1"/>
      <c r="AY522" s="1"/>
    </row>
    <row r="523" spans="1:51" ht="24" customHeight="1">
      <c r="A523" s="11"/>
      <c r="B523" s="11"/>
      <c r="C523" s="11"/>
      <c r="D523" s="11"/>
      <c r="E523" s="11"/>
      <c r="F523" s="11"/>
      <c r="G523" s="11"/>
      <c r="H523" s="11" t="str">
        <f>IF(AND(ROW()-1&lt;=教室申込!$K$5,教室申込!$K$7=0,COUNTA(教室申込!$C$4)=1),INDEX(展開用!$C$2:$C$601,MATCH(ROW()-1,展開用!$E$2:$E$601,0)),"")</f>
        <v/>
      </c>
      <c r="I523" s="11" t="str">
        <f>IF(AND(ROW()-1&lt;=教室申込!$K$5,教室申込!$K$7=0,COUNTA(教室申込!$C$4)=1),INDEX(展開用!$D$2:$D$601,MATCH(ROW()-1,展開用!$E$2:$E$601,0)),"")</f>
        <v/>
      </c>
      <c r="J523" s="11"/>
      <c r="K523" s="11"/>
      <c r="L523" s="11" t="str">
        <f>IF(AND(ROW()-1&lt;=教室申込!$K$5,教室申込!$K$7=0,COUNTA(教室申込!$C$4)=1),INDEX(教室申込!$B$1:$B$212,$AW523),"")</f>
        <v/>
      </c>
      <c r="M523" s="11" t="str">
        <f>IF(AND(ROW()-1&lt;=教室申込!$K$5,教室申込!$K$7=0,COUNTA(教室申込!$C$4)=1),INDEX(教室申込!$C$1:$C$212,$AW523),"")</f>
        <v/>
      </c>
      <c r="N523" s="11"/>
      <c r="O523" s="12" t="str">
        <f>IF(AND(ROW()-1&lt;=教室申込!$K$5,教室申込!$K$7=0,COUNTA(教室申込!$C$4)=1),INDEX(展開用!$G$2:$G$601,MATCH(ROW()-1,展開用!$E$2:$E$601,0)),"")</f>
        <v/>
      </c>
      <c r="P523" s="11"/>
      <c r="Q523" s="11"/>
      <c r="R523" s="11"/>
      <c r="S523" s="11"/>
      <c r="T523" s="11"/>
      <c r="U523" s="11" t="str">
        <f>IF(AND(ROW()-1&lt;=教室申込!$K$5,教室申込!$K$7=0,COUNTA(教室申込!$C$4)=1),INDEX(展開用!$F$2:$F$601,MATCH(ROW()-1,展開用!$E$2:$E$601,0)),"")</f>
        <v/>
      </c>
      <c r="V523" s="11"/>
      <c r="W523" s="11"/>
      <c r="X523" s="11"/>
      <c r="Y523" s="11"/>
      <c r="Z523" s="11"/>
      <c r="AA523" s="11" t="str">
        <f>IF($AW523="","",IF(INDEX(教室申込!$J$1:$J$212,$AW523)="","",INDEX(教室申込!$J$1:$J$212,$AW523)))</f>
        <v/>
      </c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" t="str">
        <f>IF(AND(ROW()-1&lt;=教室申込!$K$5,教室申込!$K$7=0,COUNTA(教室申込!$C$4)=1),INDEX(展開用!$B$2:$B$601,MATCH(ROW()-1,展開用!$E$2:$E$601,0)),"")</f>
        <v/>
      </c>
      <c r="AX523" s="1"/>
      <c r="AY523" s="1"/>
    </row>
    <row r="524" spans="1:51" ht="24" customHeight="1">
      <c r="A524" s="11"/>
      <c r="B524" s="11"/>
      <c r="C524" s="11"/>
      <c r="D524" s="11"/>
      <c r="E524" s="11"/>
      <c r="F524" s="11"/>
      <c r="G524" s="11"/>
      <c r="H524" s="11" t="str">
        <f>IF(AND(ROW()-1&lt;=教室申込!$K$5,教室申込!$K$7=0,COUNTA(教室申込!$C$4)=1),INDEX(展開用!$C$2:$C$601,MATCH(ROW()-1,展開用!$E$2:$E$601,0)),"")</f>
        <v/>
      </c>
      <c r="I524" s="11" t="str">
        <f>IF(AND(ROW()-1&lt;=教室申込!$K$5,教室申込!$K$7=0,COUNTA(教室申込!$C$4)=1),INDEX(展開用!$D$2:$D$601,MATCH(ROW()-1,展開用!$E$2:$E$601,0)),"")</f>
        <v/>
      </c>
      <c r="J524" s="11"/>
      <c r="K524" s="11"/>
      <c r="L524" s="11" t="str">
        <f>IF(AND(ROW()-1&lt;=教室申込!$K$5,教室申込!$K$7=0,COUNTA(教室申込!$C$4)=1),INDEX(教室申込!$B$1:$B$212,$AW524),"")</f>
        <v/>
      </c>
      <c r="M524" s="11" t="str">
        <f>IF(AND(ROW()-1&lt;=教室申込!$K$5,教室申込!$K$7=0,COUNTA(教室申込!$C$4)=1),INDEX(教室申込!$C$1:$C$212,$AW524),"")</f>
        <v/>
      </c>
      <c r="N524" s="11"/>
      <c r="O524" s="12" t="str">
        <f>IF(AND(ROW()-1&lt;=教室申込!$K$5,教室申込!$K$7=0,COUNTA(教室申込!$C$4)=1),INDEX(展開用!$G$2:$G$601,MATCH(ROW()-1,展開用!$E$2:$E$601,0)),"")</f>
        <v/>
      </c>
      <c r="P524" s="11"/>
      <c r="Q524" s="11"/>
      <c r="R524" s="11"/>
      <c r="S524" s="11"/>
      <c r="T524" s="11"/>
      <c r="U524" s="11" t="str">
        <f>IF(AND(ROW()-1&lt;=教室申込!$K$5,教室申込!$K$7=0,COUNTA(教室申込!$C$4)=1),INDEX(展開用!$F$2:$F$601,MATCH(ROW()-1,展開用!$E$2:$E$601,0)),"")</f>
        <v/>
      </c>
      <c r="V524" s="11"/>
      <c r="W524" s="11"/>
      <c r="X524" s="11"/>
      <c r="Y524" s="11"/>
      <c r="Z524" s="11"/>
      <c r="AA524" s="11" t="str">
        <f>IF($AW524="","",IF(INDEX(教室申込!$J$1:$J$212,$AW524)="","",INDEX(教室申込!$J$1:$J$212,$AW524)))</f>
        <v/>
      </c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" t="str">
        <f>IF(AND(ROW()-1&lt;=教室申込!$K$5,教室申込!$K$7=0,COUNTA(教室申込!$C$4)=1),INDEX(展開用!$B$2:$B$601,MATCH(ROW()-1,展開用!$E$2:$E$601,0)),"")</f>
        <v/>
      </c>
      <c r="AX524" s="1"/>
      <c r="AY524" s="1"/>
    </row>
    <row r="525" spans="1:51" ht="24" customHeight="1">
      <c r="A525" s="11"/>
      <c r="B525" s="11"/>
      <c r="C525" s="11"/>
      <c r="D525" s="11"/>
      <c r="E525" s="11"/>
      <c r="F525" s="11"/>
      <c r="G525" s="11"/>
      <c r="H525" s="11" t="str">
        <f>IF(AND(ROW()-1&lt;=教室申込!$K$5,教室申込!$K$7=0,COUNTA(教室申込!$C$4)=1),INDEX(展開用!$C$2:$C$601,MATCH(ROW()-1,展開用!$E$2:$E$601,0)),"")</f>
        <v/>
      </c>
      <c r="I525" s="11" t="str">
        <f>IF(AND(ROW()-1&lt;=教室申込!$K$5,教室申込!$K$7=0,COUNTA(教室申込!$C$4)=1),INDEX(展開用!$D$2:$D$601,MATCH(ROW()-1,展開用!$E$2:$E$601,0)),"")</f>
        <v/>
      </c>
      <c r="J525" s="11"/>
      <c r="K525" s="11"/>
      <c r="L525" s="11" t="str">
        <f>IF(AND(ROW()-1&lt;=教室申込!$K$5,教室申込!$K$7=0,COUNTA(教室申込!$C$4)=1),INDEX(教室申込!$B$1:$B$212,$AW525),"")</f>
        <v/>
      </c>
      <c r="M525" s="11" t="str">
        <f>IF(AND(ROW()-1&lt;=教室申込!$K$5,教室申込!$K$7=0,COUNTA(教室申込!$C$4)=1),INDEX(教室申込!$C$1:$C$212,$AW525),"")</f>
        <v/>
      </c>
      <c r="N525" s="11"/>
      <c r="O525" s="12" t="str">
        <f>IF(AND(ROW()-1&lt;=教室申込!$K$5,教室申込!$K$7=0,COUNTA(教室申込!$C$4)=1),INDEX(展開用!$G$2:$G$601,MATCH(ROW()-1,展開用!$E$2:$E$601,0)),"")</f>
        <v/>
      </c>
      <c r="P525" s="11"/>
      <c r="Q525" s="11"/>
      <c r="R525" s="11"/>
      <c r="S525" s="11"/>
      <c r="T525" s="11"/>
      <c r="U525" s="11" t="str">
        <f>IF(AND(ROW()-1&lt;=教室申込!$K$5,教室申込!$K$7=0,COUNTA(教室申込!$C$4)=1),INDEX(展開用!$F$2:$F$601,MATCH(ROW()-1,展開用!$E$2:$E$601,0)),"")</f>
        <v/>
      </c>
      <c r="V525" s="11"/>
      <c r="W525" s="11"/>
      <c r="X525" s="11"/>
      <c r="Y525" s="11"/>
      <c r="Z525" s="11"/>
      <c r="AA525" s="11" t="str">
        <f>IF($AW525="","",IF(INDEX(教室申込!$J$1:$J$212,$AW525)="","",INDEX(教室申込!$J$1:$J$212,$AW525)))</f>
        <v/>
      </c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" t="str">
        <f>IF(AND(ROW()-1&lt;=教室申込!$K$5,教室申込!$K$7=0,COUNTA(教室申込!$C$4)=1),INDEX(展開用!$B$2:$B$601,MATCH(ROW()-1,展開用!$E$2:$E$601,0)),"")</f>
        <v/>
      </c>
      <c r="AX525" s="1"/>
      <c r="AY525" s="1"/>
    </row>
    <row r="526" spans="1:51" ht="24" customHeight="1">
      <c r="A526" s="11"/>
      <c r="B526" s="11"/>
      <c r="C526" s="11"/>
      <c r="D526" s="11"/>
      <c r="E526" s="11"/>
      <c r="F526" s="11"/>
      <c r="G526" s="11"/>
      <c r="H526" s="11" t="str">
        <f>IF(AND(ROW()-1&lt;=教室申込!$K$5,教室申込!$K$7=0,COUNTA(教室申込!$C$4)=1),INDEX(展開用!$C$2:$C$601,MATCH(ROW()-1,展開用!$E$2:$E$601,0)),"")</f>
        <v/>
      </c>
      <c r="I526" s="11" t="str">
        <f>IF(AND(ROW()-1&lt;=教室申込!$K$5,教室申込!$K$7=0,COUNTA(教室申込!$C$4)=1),INDEX(展開用!$D$2:$D$601,MATCH(ROW()-1,展開用!$E$2:$E$601,0)),"")</f>
        <v/>
      </c>
      <c r="J526" s="11"/>
      <c r="K526" s="11"/>
      <c r="L526" s="11" t="str">
        <f>IF(AND(ROW()-1&lt;=教室申込!$K$5,教室申込!$K$7=0,COUNTA(教室申込!$C$4)=1),INDEX(教室申込!$B$1:$B$212,$AW526),"")</f>
        <v/>
      </c>
      <c r="M526" s="11" t="str">
        <f>IF(AND(ROW()-1&lt;=教室申込!$K$5,教室申込!$K$7=0,COUNTA(教室申込!$C$4)=1),INDEX(教室申込!$C$1:$C$212,$AW526),"")</f>
        <v/>
      </c>
      <c r="N526" s="11"/>
      <c r="O526" s="12" t="str">
        <f>IF(AND(ROW()-1&lt;=教室申込!$K$5,教室申込!$K$7=0,COUNTA(教室申込!$C$4)=1),INDEX(展開用!$G$2:$G$601,MATCH(ROW()-1,展開用!$E$2:$E$601,0)),"")</f>
        <v/>
      </c>
      <c r="P526" s="11"/>
      <c r="Q526" s="11"/>
      <c r="R526" s="11"/>
      <c r="S526" s="11"/>
      <c r="T526" s="11"/>
      <c r="U526" s="11" t="str">
        <f>IF(AND(ROW()-1&lt;=教室申込!$K$5,教室申込!$K$7=0,COUNTA(教室申込!$C$4)=1),INDEX(展開用!$F$2:$F$601,MATCH(ROW()-1,展開用!$E$2:$E$601,0)),"")</f>
        <v/>
      </c>
      <c r="V526" s="11"/>
      <c r="W526" s="11"/>
      <c r="X526" s="11"/>
      <c r="Y526" s="11"/>
      <c r="Z526" s="11"/>
      <c r="AA526" s="11" t="str">
        <f>IF($AW526="","",IF(INDEX(教室申込!$J$1:$J$212,$AW526)="","",INDEX(教室申込!$J$1:$J$212,$AW526)))</f>
        <v/>
      </c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" t="str">
        <f>IF(AND(ROW()-1&lt;=教室申込!$K$5,教室申込!$K$7=0,COUNTA(教室申込!$C$4)=1),INDEX(展開用!$B$2:$B$601,MATCH(ROW()-1,展開用!$E$2:$E$601,0)),"")</f>
        <v/>
      </c>
      <c r="AX526" s="1"/>
      <c r="AY526" s="1"/>
    </row>
    <row r="527" spans="1:51" ht="24" customHeight="1">
      <c r="A527" s="11"/>
      <c r="B527" s="11"/>
      <c r="C527" s="11"/>
      <c r="D527" s="11"/>
      <c r="E527" s="11"/>
      <c r="F527" s="11"/>
      <c r="G527" s="11"/>
      <c r="H527" s="11" t="str">
        <f>IF(AND(ROW()-1&lt;=教室申込!$K$5,教室申込!$K$7=0,COUNTA(教室申込!$C$4)=1),INDEX(展開用!$C$2:$C$601,MATCH(ROW()-1,展開用!$E$2:$E$601,0)),"")</f>
        <v/>
      </c>
      <c r="I527" s="11" t="str">
        <f>IF(AND(ROW()-1&lt;=教室申込!$K$5,教室申込!$K$7=0,COUNTA(教室申込!$C$4)=1),INDEX(展開用!$D$2:$D$601,MATCH(ROW()-1,展開用!$E$2:$E$601,0)),"")</f>
        <v/>
      </c>
      <c r="J527" s="11"/>
      <c r="K527" s="11"/>
      <c r="L527" s="11" t="str">
        <f>IF(AND(ROW()-1&lt;=教室申込!$K$5,教室申込!$K$7=0,COUNTA(教室申込!$C$4)=1),INDEX(教室申込!$B$1:$B$212,$AW527),"")</f>
        <v/>
      </c>
      <c r="M527" s="11" t="str">
        <f>IF(AND(ROW()-1&lt;=教室申込!$K$5,教室申込!$K$7=0,COUNTA(教室申込!$C$4)=1),INDEX(教室申込!$C$1:$C$212,$AW527),"")</f>
        <v/>
      </c>
      <c r="N527" s="11"/>
      <c r="O527" s="12" t="str">
        <f>IF(AND(ROW()-1&lt;=教室申込!$K$5,教室申込!$K$7=0,COUNTA(教室申込!$C$4)=1),INDEX(展開用!$G$2:$G$601,MATCH(ROW()-1,展開用!$E$2:$E$601,0)),"")</f>
        <v/>
      </c>
      <c r="P527" s="11"/>
      <c r="Q527" s="11"/>
      <c r="R527" s="11"/>
      <c r="S527" s="11"/>
      <c r="T527" s="11"/>
      <c r="U527" s="11" t="str">
        <f>IF(AND(ROW()-1&lt;=教室申込!$K$5,教室申込!$K$7=0,COUNTA(教室申込!$C$4)=1),INDEX(展開用!$F$2:$F$601,MATCH(ROW()-1,展開用!$E$2:$E$601,0)),"")</f>
        <v/>
      </c>
      <c r="V527" s="11"/>
      <c r="W527" s="11"/>
      <c r="X527" s="11"/>
      <c r="Y527" s="11"/>
      <c r="Z527" s="11"/>
      <c r="AA527" s="11" t="str">
        <f>IF($AW527="","",IF(INDEX(教室申込!$J$1:$J$212,$AW527)="","",INDEX(教室申込!$J$1:$J$212,$AW527)))</f>
        <v/>
      </c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" t="str">
        <f>IF(AND(ROW()-1&lt;=教室申込!$K$5,教室申込!$K$7=0,COUNTA(教室申込!$C$4)=1),INDEX(展開用!$B$2:$B$601,MATCH(ROW()-1,展開用!$E$2:$E$601,0)),"")</f>
        <v/>
      </c>
      <c r="AX527" s="1"/>
      <c r="AY527" s="1"/>
    </row>
    <row r="528" spans="1:51" ht="24" customHeight="1">
      <c r="A528" s="11"/>
      <c r="B528" s="11"/>
      <c r="C528" s="11"/>
      <c r="D528" s="11"/>
      <c r="E528" s="11"/>
      <c r="F528" s="11"/>
      <c r="G528" s="11"/>
      <c r="H528" s="11" t="str">
        <f>IF(AND(ROW()-1&lt;=教室申込!$K$5,教室申込!$K$7=0,COUNTA(教室申込!$C$4)=1),INDEX(展開用!$C$2:$C$601,MATCH(ROW()-1,展開用!$E$2:$E$601,0)),"")</f>
        <v/>
      </c>
      <c r="I528" s="11" t="str">
        <f>IF(AND(ROW()-1&lt;=教室申込!$K$5,教室申込!$K$7=0,COUNTA(教室申込!$C$4)=1),INDEX(展開用!$D$2:$D$601,MATCH(ROW()-1,展開用!$E$2:$E$601,0)),"")</f>
        <v/>
      </c>
      <c r="J528" s="11"/>
      <c r="K528" s="11"/>
      <c r="L528" s="11" t="str">
        <f>IF(AND(ROW()-1&lt;=教室申込!$K$5,教室申込!$K$7=0,COUNTA(教室申込!$C$4)=1),INDEX(教室申込!$B$1:$B$212,$AW528),"")</f>
        <v/>
      </c>
      <c r="M528" s="11" t="str">
        <f>IF(AND(ROW()-1&lt;=教室申込!$K$5,教室申込!$K$7=0,COUNTA(教室申込!$C$4)=1),INDEX(教室申込!$C$1:$C$212,$AW528),"")</f>
        <v/>
      </c>
      <c r="N528" s="11"/>
      <c r="O528" s="12" t="str">
        <f>IF(AND(ROW()-1&lt;=教室申込!$K$5,教室申込!$K$7=0,COUNTA(教室申込!$C$4)=1),INDEX(展開用!$G$2:$G$601,MATCH(ROW()-1,展開用!$E$2:$E$601,0)),"")</f>
        <v/>
      </c>
      <c r="P528" s="11"/>
      <c r="Q528" s="11"/>
      <c r="R528" s="11"/>
      <c r="S528" s="11"/>
      <c r="T528" s="11"/>
      <c r="U528" s="11" t="str">
        <f>IF(AND(ROW()-1&lt;=教室申込!$K$5,教室申込!$K$7=0,COUNTA(教室申込!$C$4)=1),INDEX(展開用!$F$2:$F$601,MATCH(ROW()-1,展開用!$E$2:$E$601,0)),"")</f>
        <v/>
      </c>
      <c r="V528" s="11"/>
      <c r="W528" s="11"/>
      <c r="X528" s="11"/>
      <c r="Y528" s="11"/>
      <c r="Z528" s="11"/>
      <c r="AA528" s="11" t="str">
        <f>IF($AW528="","",IF(INDEX(教室申込!$J$1:$J$212,$AW528)="","",INDEX(教室申込!$J$1:$J$212,$AW528)))</f>
        <v/>
      </c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" t="str">
        <f>IF(AND(ROW()-1&lt;=教室申込!$K$5,教室申込!$K$7=0,COUNTA(教室申込!$C$4)=1),INDEX(展開用!$B$2:$B$601,MATCH(ROW()-1,展開用!$E$2:$E$601,0)),"")</f>
        <v/>
      </c>
      <c r="AX528" s="1"/>
      <c r="AY528" s="1"/>
    </row>
    <row r="529" spans="1:51" ht="24" customHeight="1">
      <c r="A529" s="11"/>
      <c r="B529" s="11"/>
      <c r="C529" s="11"/>
      <c r="D529" s="11"/>
      <c r="E529" s="11"/>
      <c r="F529" s="11"/>
      <c r="G529" s="11"/>
      <c r="H529" s="11" t="str">
        <f>IF(AND(ROW()-1&lt;=教室申込!$K$5,教室申込!$K$7=0,COUNTA(教室申込!$C$4)=1),INDEX(展開用!$C$2:$C$601,MATCH(ROW()-1,展開用!$E$2:$E$601,0)),"")</f>
        <v/>
      </c>
      <c r="I529" s="11" t="str">
        <f>IF(AND(ROW()-1&lt;=教室申込!$K$5,教室申込!$K$7=0,COUNTA(教室申込!$C$4)=1),INDEX(展開用!$D$2:$D$601,MATCH(ROW()-1,展開用!$E$2:$E$601,0)),"")</f>
        <v/>
      </c>
      <c r="J529" s="11"/>
      <c r="K529" s="11"/>
      <c r="L529" s="11" t="str">
        <f>IF(AND(ROW()-1&lt;=教室申込!$K$5,教室申込!$K$7=0,COUNTA(教室申込!$C$4)=1),INDEX(教室申込!$B$1:$B$212,$AW529),"")</f>
        <v/>
      </c>
      <c r="M529" s="11" t="str">
        <f>IF(AND(ROW()-1&lt;=教室申込!$K$5,教室申込!$K$7=0,COUNTA(教室申込!$C$4)=1),INDEX(教室申込!$C$1:$C$212,$AW529),"")</f>
        <v/>
      </c>
      <c r="N529" s="11"/>
      <c r="O529" s="12" t="str">
        <f>IF(AND(ROW()-1&lt;=教室申込!$K$5,教室申込!$K$7=0,COUNTA(教室申込!$C$4)=1),INDEX(展開用!$G$2:$G$601,MATCH(ROW()-1,展開用!$E$2:$E$601,0)),"")</f>
        <v/>
      </c>
      <c r="P529" s="11"/>
      <c r="Q529" s="11"/>
      <c r="R529" s="11"/>
      <c r="S529" s="11"/>
      <c r="T529" s="11"/>
      <c r="U529" s="11" t="str">
        <f>IF(AND(ROW()-1&lt;=教室申込!$K$5,教室申込!$K$7=0,COUNTA(教室申込!$C$4)=1),INDEX(展開用!$F$2:$F$601,MATCH(ROW()-1,展開用!$E$2:$E$601,0)),"")</f>
        <v/>
      </c>
      <c r="V529" s="11"/>
      <c r="W529" s="11"/>
      <c r="X529" s="11"/>
      <c r="Y529" s="11"/>
      <c r="Z529" s="11"/>
      <c r="AA529" s="11" t="str">
        <f>IF($AW529="","",IF(INDEX(教室申込!$J$1:$J$212,$AW529)="","",INDEX(教室申込!$J$1:$J$212,$AW529)))</f>
        <v/>
      </c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" t="str">
        <f>IF(AND(ROW()-1&lt;=教室申込!$K$5,教室申込!$K$7=0,COUNTA(教室申込!$C$4)=1),INDEX(展開用!$B$2:$B$601,MATCH(ROW()-1,展開用!$E$2:$E$601,0)),"")</f>
        <v/>
      </c>
      <c r="AX529" s="1"/>
      <c r="AY529" s="1"/>
    </row>
    <row r="530" spans="1:51" ht="24" customHeight="1">
      <c r="A530" s="11"/>
      <c r="B530" s="11"/>
      <c r="C530" s="11"/>
      <c r="D530" s="11"/>
      <c r="E530" s="11"/>
      <c r="F530" s="11"/>
      <c r="G530" s="11"/>
      <c r="H530" s="11" t="str">
        <f>IF(AND(ROW()-1&lt;=教室申込!$K$5,教室申込!$K$7=0,COUNTA(教室申込!$C$4)=1),INDEX(展開用!$C$2:$C$601,MATCH(ROW()-1,展開用!$E$2:$E$601,0)),"")</f>
        <v/>
      </c>
      <c r="I530" s="11" t="str">
        <f>IF(AND(ROW()-1&lt;=教室申込!$K$5,教室申込!$K$7=0,COUNTA(教室申込!$C$4)=1),INDEX(展開用!$D$2:$D$601,MATCH(ROW()-1,展開用!$E$2:$E$601,0)),"")</f>
        <v/>
      </c>
      <c r="J530" s="11"/>
      <c r="K530" s="11"/>
      <c r="L530" s="11" t="str">
        <f>IF(AND(ROW()-1&lt;=教室申込!$K$5,教室申込!$K$7=0,COUNTA(教室申込!$C$4)=1),INDEX(教室申込!$B$1:$B$212,$AW530),"")</f>
        <v/>
      </c>
      <c r="M530" s="11" t="str">
        <f>IF(AND(ROW()-1&lt;=教室申込!$K$5,教室申込!$K$7=0,COUNTA(教室申込!$C$4)=1),INDEX(教室申込!$C$1:$C$212,$AW530),"")</f>
        <v/>
      </c>
      <c r="N530" s="11"/>
      <c r="O530" s="12" t="str">
        <f>IF(AND(ROW()-1&lt;=教室申込!$K$5,教室申込!$K$7=0,COUNTA(教室申込!$C$4)=1),INDEX(展開用!$G$2:$G$601,MATCH(ROW()-1,展開用!$E$2:$E$601,0)),"")</f>
        <v/>
      </c>
      <c r="P530" s="11"/>
      <c r="Q530" s="11"/>
      <c r="R530" s="11"/>
      <c r="S530" s="11"/>
      <c r="T530" s="11"/>
      <c r="U530" s="11" t="str">
        <f>IF(AND(ROW()-1&lt;=教室申込!$K$5,教室申込!$K$7=0,COUNTA(教室申込!$C$4)=1),INDEX(展開用!$F$2:$F$601,MATCH(ROW()-1,展開用!$E$2:$E$601,0)),"")</f>
        <v/>
      </c>
      <c r="V530" s="11"/>
      <c r="W530" s="11"/>
      <c r="X530" s="11"/>
      <c r="Y530" s="11"/>
      <c r="Z530" s="11"/>
      <c r="AA530" s="11" t="str">
        <f>IF($AW530="","",IF(INDEX(教室申込!$J$1:$J$212,$AW530)="","",INDEX(教室申込!$J$1:$J$212,$AW530)))</f>
        <v/>
      </c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" t="str">
        <f>IF(AND(ROW()-1&lt;=教室申込!$K$5,教室申込!$K$7=0,COUNTA(教室申込!$C$4)=1),INDEX(展開用!$B$2:$B$601,MATCH(ROW()-1,展開用!$E$2:$E$601,0)),"")</f>
        <v/>
      </c>
      <c r="AX530" s="1"/>
      <c r="AY530" s="1"/>
    </row>
    <row r="531" spans="1:51" ht="24" customHeight="1">
      <c r="A531" s="11"/>
      <c r="B531" s="11"/>
      <c r="C531" s="11"/>
      <c r="D531" s="11"/>
      <c r="E531" s="11"/>
      <c r="F531" s="11"/>
      <c r="G531" s="11"/>
      <c r="H531" s="11" t="str">
        <f>IF(AND(ROW()-1&lt;=教室申込!$K$5,教室申込!$K$7=0,COUNTA(教室申込!$C$4)=1),INDEX(展開用!$C$2:$C$601,MATCH(ROW()-1,展開用!$E$2:$E$601,0)),"")</f>
        <v/>
      </c>
      <c r="I531" s="11" t="str">
        <f>IF(AND(ROW()-1&lt;=教室申込!$K$5,教室申込!$K$7=0,COUNTA(教室申込!$C$4)=1),INDEX(展開用!$D$2:$D$601,MATCH(ROW()-1,展開用!$E$2:$E$601,0)),"")</f>
        <v/>
      </c>
      <c r="J531" s="11"/>
      <c r="K531" s="11"/>
      <c r="L531" s="11" t="str">
        <f>IF(AND(ROW()-1&lt;=教室申込!$K$5,教室申込!$K$7=0,COUNTA(教室申込!$C$4)=1),INDEX(教室申込!$B$1:$B$212,$AW531),"")</f>
        <v/>
      </c>
      <c r="M531" s="11" t="str">
        <f>IF(AND(ROW()-1&lt;=教室申込!$K$5,教室申込!$K$7=0,COUNTA(教室申込!$C$4)=1),INDEX(教室申込!$C$1:$C$212,$AW531),"")</f>
        <v/>
      </c>
      <c r="N531" s="11"/>
      <c r="O531" s="12" t="str">
        <f>IF(AND(ROW()-1&lt;=教室申込!$K$5,教室申込!$K$7=0,COUNTA(教室申込!$C$4)=1),INDEX(展開用!$G$2:$G$601,MATCH(ROW()-1,展開用!$E$2:$E$601,0)),"")</f>
        <v/>
      </c>
      <c r="P531" s="11"/>
      <c r="Q531" s="11"/>
      <c r="R531" s="11"/>
      <c r="S531" s="11"/>
      <c r="T531" s="11"/>
      <c r="U531" s="11" t="str">
        <f>IF(AND(ROW()-1&lt;=教室申込!$K$5,教室申込!$K$7=0,COUNTA(教室申込!$C$4)=1),INDEX(展開用!$F$2:$F$601,MATCH(ROW()-1,展開用!$E$2:$E$601,0)),"")</f>
        <v/>
      </c>
      <c r="V531" s="11"/>
      <c r="W531" s="11"/>
      <c r="X531" s="11"/>
      <c r="Y531" s="11"/>
      <c r="Z531" s="11"/>
      <c r="AA531" s="11" t="str">
        <f>IF($AW531="","",IF(INDEX(教室申込!$J$1:$J$212,$AW531)="","",INDEX(教室申込!$J$1:$J$212,$AW531)))</f>
        <v/>
      </c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" t="str">
        <f>IF(AND(ROW()-1&lt;=教室申込!$K$5,教室申込!$K$7=0,COUNTA(教室申込!$C$4)=1),INDEX(展開用!$B$2:$B$601,MATCH(ROW()-1,展開用!$E$2:$E$601,0)),"")</f>
        <v/>
      </c>
      <c r="AX531" s="1"/>
      <c r="AY531" s="1"/>
    </row>
    <row r="532" spans="1:51" ht="24" customHeight="1">
      <c r="A532" s="11"/>
      <c r="B532" s="11"/>
      <c r="C532" s="11"/>
      <c r="D532" s="11"/>
      <c r="E532" s="11"/>
      <c r="F532" s="11"/>
      <c r="G532" s="11"/>
      <c r="H532" s="11" t="str">
        <f>IF(AND(ROW()-1&lt;=教室申込!$K$5,教室申込!$K$7=0,COUNTA(教室申込!$C$4)=1),INDEX(展開用!$C$2:$C$601,MATCH(ROW()-1,展開用!$E$2:$E$601,0)),"")</f>
        <v/>
      </c>
      <c r="I532" s="11" t="str">
        <f>IF(AND(ROW()-1&lt;=教室申込!$K$5,教室申込!$K$7=0,COUNTA(教室申込!$C$4)=1),INDEX(展開用!$D$2:$D$601,MATCH(ROW()-1,展開用!$E$2:$E$601,0)),"")</f>
        <v/>
      </c>
      <c r="J532" s="11"/>
      <c r="K532" s="11"/>
      <c r="L532" s="11" t="str">
        <f>IF(AND(ROW()-1&lt;=教室申込!$K$5,教室申込!$K$7=0,COUNTA(教室申込!$C$4)=1),INDEX(教室申込!$B$1:$B$212,$AW532),"")</f>
        <v/>
      </c>
      <c r="M532" s="11" t="str">
        <f>IF(AND(ROW()-1&lt;=教室申込!$K$5,教室申込!$K$7=0,COUNTA(教室申込!$C$4)=1),INDEX(教室申込!$C$1:$C$212,$AW532),"")</f>
        <v/>
      </c>
      <c r="N532" s="11"/>
      <c r="O532" s="12" t="str">
        <f>IF(AND(ROW()-1&lt;=教室申込!$K$5,教室申込!$K$7=0,COUNTA(教室申込!$C$4)=1),INDEX(展開用!$G$2:$G$601,MATCH(ROW()-1,展開用!$E$2:$E$601,0)),"")</f>
        <v/>
      </c>
      <c r="P532" s="11"/>
      <c r="Q532" s="11"/>
      <c r="R532" s="11"/>
      <c r="S532" s="11"/>
      <c r="T532" s="11"/>
      <c r="U532" s="11" t="str">
        <f>IF(AND(ROW()-1&lt;=教室申込!$K$5,教室申込!$K$7=0,COUNTA(教室申込!$C$4)=1),INDEX(展開用!$F$2:$F$601,MATCH(ROW()-1,展開用!$E$2:$E$601,0)),"")</f>
        <v/>
      </c>
      <c r="V532" s="11"/>
      <c r="W532" s="11"/>
      <c r="X532" s="11"/>
      <c r="Y532" s="11"/>
      <c r="Z532" s="11"/>
      <c r="AA532" s="11" t="str">
        <f>IF($AW532="","",IF(INDEX(教室申込!$J$1:$J$212,$AW532)="","",INDEX(教室申込!$J$1:$J$212,$AW532)))</f>
        <v/>
      </c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" t="str">
        <f>IF(AND(ROW()-1&lt;=教室申込!$K$5,教室申込!$K$7=0,COUNTA(教室申込!$C$4)=1),INDEX(展開用!$B$2:$B$601,MATCH(ROW()-1,展開用!$E$2:$E$601,0)),"")</f>
        <v/>
      </c>
      <c r="AX532" s="1"/>
      <c r="AY532" s="1"/>
    </row>
    <row r="533" spans="1:51" ht="24" customHeight="1">
      <c r="A533" s="11"/>
      <c r="B533" s="11"/>
      <c r="C533" s="11"/>
      <c r="D533" s="11"/>
      <c r="E533" s="11"/>
      <c r="F533" s="11"/>
      <c r="G533" s="11"/>
      <c r="H533" s="11" t="str">
        <f>IF(AND(ROW()-1&lt;=教室申込!$K$5,教室申込!$K$7=0,COUNTA(教室申込!$C$4)=1),INDEX(展開用!$C$2:$C$601,MATCH(ROW()-1,展開用!$E$2:$E$601,0)),"")</f>
        <v/>
      </c>
      <c r="I533" s="11" t="str">
        <f>IF(AND(ROW()-1&lt;=教室申込!$K$5,教室申込!$K$7=0,COUNTA(教室申込!$C$4)=1),INDEX(展開用!$D$2:$D$601,MATCH(ROW()-1,展開用!$E$2:$E$601,0)),"")</f>
        <v/>
      </c>
      <c r="J533" s="11"/>
      <c r="K533" s="11"/>
      <c r="L533" s="11" t="str">
        <f>IF(AND(ROW()-1&lt;=教室申込!$K$5,教室申込!$K$7=0,COUNTA(教室申込!$C$4)=1),INDEX(教室申込!$B$1:$B$212,$AW533),"")</f>
        <v/>
      </c>
      <c r="M533" s="11" t="str">
        <f>IF(AND(ROW()-1&lt;=教室申込!$K$5,教室申込!$K$7=0,COUNTA(教室申込!$C$4)=1),INDEX(教室申込!$C$1:$C$212,$AW533),"")</f>
        <v/>
      </c>
      <c r="N533" s="11"/>
      <c r="O533" s="12" t="str">
        <f>IF(AND(ROW()-1&lt;=教室申込!$K$5,教室申込!$K$7=0,COUNTA(教室申込!$C$4)=1),INDEX(展開用!$G$2:$G$601,MATCH(ROW()-1,展開用!$E$2:$E$601,0)),"")</f>
        <v/>
      </c>
      <c r="P533" s="11"/>
      <c r="Q533" s="11"/>
      <c r="R533" s="11"/>
      <c r="S533" s="11"/>
      <c r="T533" s="11"/>
      <c r="U533" s="11" t="str">
        <f>IF(AND(ROW()-1&lt;=教室申込!$K$5,教室申込!$K$7=0,COUNTA(教室申込!$C$4)=1),INDEX(展開用!$F$2:$F$601,MATCH(ROW()-1,展開用!$E$2:$E$601,0)),"")</f>
        <v/>
      </c>
      <c r="V533" s="11"/>
      <c r="W533" s="11"/>
      <c r="X533" s="11"/>
      <c r="Y533" s="11"/>
      <c r="Z533" s="11"/>
      <c r="AA533" s="11" t="str">
        <f>IF($AW533="","",IF(INDEX(教室申込!$J$1:$J$212,$AW533)="","",INDEX(教室申込!$J$1:$J$212,$AW533)))</f>
        <v/>
      </c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" t="str">
        <f>IF(AND(ROW()-1&lt;=教室申込!$K$5,教室申込!$K$7=0,COUNTA(教室申込!$C$4)=1),INDEX(展開用!$B$2:$B$601,MATCH(ROW()-1,展開用!$E$2:$E$601,0)),"")</f>
        <v/>
      </c>
      <c r="AX533" s="1"/>
      <c r="AY533" s="1"/>
    </row>
    <row r="534" spans="1:51" ht="24" customHeight="1">
      <c r="A534" s="11"/>
      <c r="B534" s="11"/>
      <c r="C534" s="11"/>
      <c r="D534" s="11"/>
      <c r="E534" s="11"/>
      <c r="F534" s="11"/>
      <c r="G534" s="11"/>
      <c r="H534" s="11" t="str">
        <f>IF(AND(ROW()-1&lt;=教室申込!$K$5,教室申込!$K$7=0,COUNTA(教室申込!$C$4)=1),INDEX(展開用!$C$2:$C$601,MATCH(ROW()-1,展開用!$E$2:$E$601,0)),"")</f>
        <v/>
      </c>
      <c r="I534" s="11" t="str">
        <f>IF(AND(ROW()-1&lt;=教室申込!$K$5,教室申込!$K$7=0,COUNTA(教室申込!$C$4)=1),INDEX(展開用!$D$2:$D$601,MATCH(ROW()-1,展開用!$E$2:$E$601,0)),"")</f>
        <v/>
      </c>
      <c r="J534" s="11"/>
      <c r="K534" s="11"/>
      <c r="L534" s="11" t="str">
        <f>IF(AND(ROW()-1&lt;=教室申込!$K$5,教室申込!$K$7=0,COUNTA(教室申込!$C$4)=1),INDEX(教室申込!$B$1:$B$212,$AW534),"")</f>
        <v/>
      </c>
      <c r="M534" s="11" t="str">
        <f>IF(AND(ROW()-1&lt;=教室申込!$K$5,教室申込!$K$7=0,COUNTA(教室申込!$C$4)=1),INDEX(教室申込!$C$1:$C$212,$AW534),"")</f>
        <v/>
      </c>
      <c r="N534" s="11"/>
      <c r="O534" s="12" t="str">
        <f>IF(AND(ROW()-1&lt;=教室申込!$K$5,教室申込!$K$7=0,COUNTA(教室申込!$C$4)=1),INDEX(展開用!$G$2:$G$601,MATCH(ROW()-1,展開用!$E$2:$E$601,0)),"")</f>
        <v/>
      </c>
      <c r="P534" s="11"/>
      <c r="Q534" s="11"/>
      <c r="R534" s="11"/>
      <c r="S534" s="11"/>
      <c r="T534" s="11"/>
      <c r="U534" s="11" t="str">
        <f>IF(AND(ROW()-1&lt;=教室申込!$K$5,教室申込!$K$7=0,COUNTA(教室申込!$C$4)=1),INDEX(展開用!$F$2:$F$601,MATCH(ROW()-1,展開用!$E$2:$E$601,0)),"")</f>
        <v/>
      </c>
      <c r="V534" s="11"/>
      <c r="W534" s="11"/>
      <c r="X534" s="11"/>
      <c r="Y534" s="11"/>
      <c r="Z534" s="11"/>
      <c r="AA534" s="11" t="str">
        <f>IF($AW534="","",IF(INDEX(教室申込!$J$1:$J$212,$AW534)="","",INDEX(教室申込!$J$1:$J$212,$AW534)))</f>
        <v/>
      </c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" t="str">
        <f>IF(AND(ROW()-1&lt;=教室申込!$K$5,教室申込!$K$7=0,COUNTA(教室申込!$C$4)=1),INDEX(展開用!$B$2:$B$601,MATCH(ROW()-1,展開用!$E$2:$E$601,0)),"")</f>
        <v/>
      </c>
      <c r="AX534" s="1"/>
      <c r="AY534" s="1"/>
    </row>
    <row r="535" spans="1:51" ht="24" customHeight="1">
      <c r="A535" s="11"/>
      <c r="B535" s="11"/>
      <c r="C535" s="11"/>
      <c r="D535" s="11"/>
      <c r="E535" s="11"/>
      <c r="F535" s="11"/>
      <c r="G535" s="11"/>
      <c r="H535" s="11" t="str">
        <f>IF(AND(ROW()-1&lt;=教室申込!$K$5,教室申込!$K$7=0,COUNTA(教室申込!$C$4)=1),INDEX(展開用!$C$2:$C$601,MATCH(ROW()-1,展開用!$E$2:$E$601,0)),"")</f>
        <v/>
      </c>
      <c r="I535" s="11" t="str">
        <f>IF(AND(ROW()-1&lt;=教室申込!$K$5,教室申込!$K$7=0,COUNTA(教室申込!$C$4)=1),INDEX(展開用!$D$2:$D$601,MATCH(ROW()-1,展開用!$E$2:$E$601,0)),"")</f>
        <v/>
      </c>
      <c r="J535" s="11"/>
      <c r="K535" s="11"/>
      <c r="L535" s="11" t="str">
        <f>IF(AND(ROW()-1&lt;=教室申込!$K$5,教室申込!$K$7=0,COUNTA(教室申込!$C$4)=1),INDEX(教室申込!$B$1:$B$212,$AW535),"")</f>
        <v/>
      </c>
      <c r="M535" s="11" t="str">
        <f>IF(AND(ROW()-1&lt;=教室申込!$K$5,教室申込!$K$7=0,COUNTA(教室申込!$C$4)=1),INDEX(教室申込!$C$1:$C$212,$AW535),"")</f>
        <v/>
      </c>
      <c r="N535" s="11"/>
      <c r="O535" s="12" t="str">
        <f>IF(AND(ROW()-1&lt;=教室申込!$K$5,教室申込!$K$7=0,COUNTA(教室申込!$C$4)=1),INDEX(展開用!$G$2:$G$601,MATCH(ROW()-1,展開用!$E$2:$E$601,0)),"")</f>
        <v/>
      </c>
      <c r="P535" s="11"/>
      <c r="Q535" s="11"/>
      <c r="R535" s="11"/>
      <c r="S535" s="11"/>
      <c r="T535" s="11"/>
      <c r="U535" s="11" t="str">
        <f>IF(AND(ROW()-1&lt;=教室申込!$K$5,教室申込!$K$7=0,COUNTA(教室申込!$C$4)=1),INDEX(展開用!$F$2:$F$601,MATCH(ROW()-1,展開用!$E$2:$E$601,0)),"")</f>
        <v/>
      </c>
      <c r="V535" s="11"/>
      <c r="W535" s="11"/>
      <c r="X535" s="11"/>
      <c r="Y535" s="11"/>
      <c r="Z535" s="11"/>
      <c r="AA535" s="11" t="str">
        <f>IF($AW535="","",IF(INDEX(教室申込!$J$1:$J$212,$AW535)="","",INDEX(教室申込!$J$1:$J$212,$AW535)))</f>
        <v/>
      </c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" t="str">
        <f>IF(AND(ROW()-1&lt;=教室申込!$K$5,教室申込!$K$7=0,COUNTA(教室申込!$C$4)=1),INDEX(展開用!$B$2:$B$601,MATCH(ROW()-1,展開用!$E$2:$E$601,0)),"")</f>
        <v/>
      </c>
      <c r="AX535" s="1"/>
      <c r="AY535" s="1"/>
    </row>
    <row r="536" spans="1:51" ht="24" customHeight="1">
      <c r="A536" s="11"/>
      <c r="B536" s="11"/>
      <c r="C536" s="11"/>
      <c r="D536" s="11"/>
      <c r="E536" s="11"/>
      <c r="F536" s="11"/>
      <c r="G536" s="11"/>
      <c r="H536" s="11" t="str">
        <f>IF(AND(ROW()-1&lt;=教室申込!$K$5,教室申込!$K$7=0,COUNTA(教室申込!$C$4)=1),INDEX(展開用!$C$2:$C$601,MATCH(ROW()-1,展開用!$E$2:$E$601,0)),"")</f>
        <v/>
      </c>
      <c r="I536" s="11" t="str">
        <f>IF(AND(ROW()-1&lt;=教室申込!$K$5,教室申込!$K$7=0,COUNTA(教室申込!$C$4)=1),INDEX(展開用!$D$2:$D$601,MATCH(ROW()-1,展開用!$E$2:$E$601,0)),"")</f>
        <v/>
      </c>
      <c r="J536" s="11"/>
      <c r="K536" s="11"/>
      <c r="L536" s="11" t="str">
        <f>IF(AND(ROW()-1&lt;=教室申込!$K$5,教室申込!$K$7=0,COUNTA(教室申込!$C$4)=1),INDEX(教室申込!$B$1:$B$212,$AW536),"")</f>
        <v/>
      </c>
      <c r="M536" s="11" t="str">
        <f>IF(AND(ROW()-1&lt;=教室申込!$K$5,教室申込!$K$7=0,COUNTA(教室申込!$C$4)=1),INDEX(教室申込!$C$1:$C$212,$AW536),"")</f>
        <v/>
      </c>
      <c r="N536" s="11"/>
      <c r="O536" s="12" t="str">
        <f>IF(AND(ROW()-1&lt;=教室申込!$K$5,教室申込!$K$7=0,COUNTA(教室申込!$C$4)=1),INDEX(展開用!$G$2:$G$601,MATCH(ROW()-1,展開用!$E$2:$E$601,0)),"")</f>
        <v/>
      </c>
      <c r="P536" s="11"/>
      <c r="Q536" s="11"/>
      <c r="R536" s="11"/>
      <c r="S536" s="11"/>
      <c r="T536" s="11"/>
      <c r="U536" s="11" t="str">
        <f>IF(AND(ROW()-1&lt;=教室申込!$K$5,教室申込!$K$7=0,COUNTA(教室申込!$C$4)=1),INDEX(展開用!$F$2:$F$601,MATCH(ROW()-1,展開用!$E$2:$E$601,0)),"")</f>
        <v/>
      </c>
      <c r="V536" s="11"/>
      <c r="W536" s="11"/>
      <c r="X536" s="11"/>
      <c r="Y536" s="11"/>
      <c r="Z536" s="11"/>
      <c r="AA536" s="11" t="str">
        <f>IF($AW536="","",IF(INDEX(教室申込!$J$1:$J$212,$AW536)="","",INDEX(教室申込!$J$1:$J$212,$AW536)))</f>
        <v/>
      </c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" t="str">
        <f>IF(AND(ROW()-1&lt;=教室申込!$K$5,教室申込!$K$7=0,COUNTA(教室申込!$C$4)=1),INDEX(展開用!$B$2:$B$601,MATCH(ROW()-1,展開用!$E$2:$E$601,0)),"")</f>
        <v/>
      </c>
      <c r="AX536" s="1"/>
      <c r="AY536" s="1"/>
    </row>
    <row r="537" spans="1:51" ht="24" customHeight="1">
      <c r="A537" s="11"/>
      <c r="B537" s="11"/>
      <c r="C537" s="11"/>
      <c r="D537" s="11"/>
      <c r="E537" s="11"/>
      <c r="F537" s="11"/>
      <c r="G537" s="11"/>
      <c r="H537" s="11" t="str">
        <f>IF(AND(ROW()-1&lt;=教室申込!$K$5,教室申込!$K$7=0,COUNTA(教室申込!$C$4)=1),INDEX(展開用!$C$2:$C$601,MATCH(ROW()-1,展開用!$E$2:$E$601,0)),"")</f>
        <v/>
      </c>
      <c r="I537" s="11" t="str">
        <f>IF(AND(ROW()-1&lt;=教室申込!$K$5,教室申込!$K$7=0,COUNTA(教室申込!$C$4)=1),INDEX(展開用!$D$2:$D$601,MATCH(ROW()-1,展開用!$E$2:$E$601,0)),"")</f>
        <v/>
      </c>
      <c r="J537" s="11"/>
      <c r="K537" s="11"/>
      <c r="L537" s="11" t="str">
        <f>IF(AND(ROW()-1&lt;=教室申込!$K$5,教室申込!$K$7=0,COUNTA(教室申込!$C$4)=1),INDEX(教室申込!$B$1:$B$212,$AW537),"")</f>
        <v/>
      </c>
      <c r="M537" s="11" t="str">
        <f>IF(AND(ROW()-1&lt;=教室申込!$K$5,教室申込!$K$7=0,COUNTA(教室申込!$C$4)=1),INDEX(教室申込!$C$1:$C$212,$AW537),"")</f>
        <v/>
      </c>
      <c r="N537" s="11"/>
      <c r="O537" s="12" t="str">
        <f>IF(AND(ROW()-1&lt;=教室申込!$K$5,教室申込!$K$7=0,COUNTA(教室申込!$C$4)=1),INDEX(展開用!$G$2:$G$601,MATCH(ROW()-1,展開用!$E$2:$E$601,0)),"")</f>
        <v/>
      </c>
      <c r="P537" s="11"/>
      <c r="Q537" s="11"/>
      <c r="R537" s="11"/>
      <c r="S537" s="11"/>
      <c r="T537" s="11"/>
      <c r="U537" s="11" t="str">
        <f>IF(AND(ROW()-1&lt;=教室申込!$K$5,教室申込!$K$7=0,COUNTA(教室申込!$C$4)=1),INDEX(展開用!$F$2:$F$601,MATCH(ROW()-1,展開用!$E$2:$E$601,0)),"")</f>
        <v/>
      </c>
      <c r="V537" s="11"/>
      <c r="W537" s="11"/>
      <c r="X537" s="11"/>
      <c r="Y537" s="11"/>
      <c r="Z537" s="11"/>
      <c r="AA537" s="11" t="str">
        <f>IF($AW537="","",IF(INDEX(教室申込!$J$1:$J$212,$AW537)="","",INDEX(教室申込!$J$1:$J$212,$AW537)))</f>
        <v/>
      </c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" t="str">
        <f>IF(AND(ROW()-1&lt;=教室申込!$K$5,教室申込!$K$7=0,COUNTA(教室申込!$C$4)=1),INDEX(展開用!$B$2:$B$601,MATCH(ROW()-1,展開用!$E$2:$E$601,0)),"")</f>
        <v/>
      </c>
      <c r="AX537" s="1"/>
      <c r="AY537" s="1"/>
    </row>
    <row r="538" spans="1:51" ht="24" customHeight="1">
      <c r="A538" s="11"/>
      <c r="B538" s="11"/>
      <c r="C538" s="11"/>
      <c r="D538" s="11"/>
      <c r="E538" s="11"/>
      <c r="F538" s="11"/>
      <c r="G538" s="11"/>
      <c r="H538" s="11" t="str">
        <f>IF(AND(ROW()-1&lt;=教室申込!$K$5,教室申込!$K$7=0,COUNTA(教室申込!$C$4)=1),INDEX(展開用!$C$2:$C$601,MATCH(ROW()-1,展開用!$E$2:$E$601,0)),"")</f>
        <v/>
      </c>
      <c r="I538" s="11" t="str">
        <f>IF(AND(ROW()-1&lt;=教室申込!$K$5,教室申込!$K$7=0,COUNTA(教室申込!$C$4)=1),INDEX(展開用!$D$2:$D$601,MATCH(ROW()-1,展開用!$E$2:$E$601,0)),"")</f>
        <v/>
      </c>
      <c r="J538" s="11"/>
      <c r="K538" s="11"/>
      <c r="L538" s="11" t="str">
        <f>IF(AND(ROW()-1&lt;=教室申込!$K$5,教室申込!$K$7=0,COUNTA(教室申込!$C$4)=1),INDEX(教室申込!$B$1:$B$212,$AW538),"")</f>
        <v/>
      </c>
      <c r="M538" s="11" t="str">
        <f>IF(AND(ROW()-1&lt;=教室申込!$K$5,教室申込!$K$7=0,COUNTA(教室申込!$C$4)=1),INDEX(教室申込!$C$1:$C$212,$AW538),"")</f>
        <v/>
      </c>
      <c r="N538" s="11"/>
      <c r="O538" s="12" t="str">
        <f>IF(AND(ROW()-1&lt;=教室申込!$K$5,教室申込!$K$7=0,COUNTA(教室申込!$C$4)=1),INDEX(展開用!$G$2:$G$601,MATCH(ROW()-1,展開用!$E$2:$E$601,0)),"")</f>
        <v/>
      </c>
      <c r="P538" s="11"/>
      <c r="Q538" s="11"/>
      <c r="R538" s="11"/>
      <c r="S538" s="11"/>
      <c r="T538" s="11"/>
      <c r="U538" s="11" t="str">
        <f>IF(AND(ROW()-1&lt;=教室申込!$K$5,教室申込!$K$7=0,COUNTA(教室申込!$C$4)=1),INDEX(展開用!$F$2:$F$601,MATCH(ROW()-1,展開用!$E$2:$E$601,0)),"")</f>
        <v/>
      </c>
      <c r="V538" s="11"/>
      <c r="W538" s="11"/>
      <c r="X538" s="11"/>
      <c r="Y538" s="11"/>
      <c r="Z538" s="11"/>
      <c r="AA538" s="11" t="str">
        <f>IF($AW538="","",IF(INDEX(教室申込!$J$1:$J$212,$AW538)="","",INDEX(教室申込!$J$1:$J$212,$AW538)))</f>
        <v/>
      </c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" t="str">
        <f>IF(AND(ROW()-1&lt;=教室申込!$K$5,教室申込!$K$7=0,COUNTA(教室申込!$C$4)=1),INDEX(展開用!$B$2:$B$601,MATCH(ROW()-1,展開用!$E$2:$E$601,0)),"")</f>
        <v/>
      </c>
      <c r="AX538" s="1"/>
      <c r="AY538" s="1"/>
    </row>
    <row r="539" spans="1:51" ht="24" customHeight="1">
      <c r="A539" s="11"/>
      <c r="B539" s="11"/>
      <c r="C539" s="11"/>
      <c r="D539" s="11"/>
      <c r="E539" s="11"/>
      <c r="F539" s="11"/>
      <c r="G539" s="11"/>
      <c r="H539" s="11" t="str">
        <f>IF(AND(ROW()-1&lt;=教室申込!$K$5,教室申込!$K$7=0,COUNTA(教室申込!$C$4)=1),INDEX(展開用!$C$2:$C$601,MATCH(ROW()-1,展開用!$E$2:$E$601,0)),"")</f>
        <v/>
      </c>
      <c r="I539" s="11" t="str">
        <f>IF(AND(ROW()-1&lt;=教室申込!$K$5,教室申込!$K$7=0,COUNTA(教室申込!$C$4)=1),INDEX(展開用!$D$2:$D$601,MATCH(ROW()-1,展開用!$E$2:$E$601,0)),"")</f>
        <v/>
      </c>
      <c r="J539" s="11"/>
      <c r="K539" s="11"/>
      <c r="L539" s="11" t="str">
        <f>IF(AND(ROW()-1&lt;=教室申込!$K$5,教室申込!$K$7=0,COUNTA(教室申込!$C$4)=1),INDEX(教室申込!$B$1:$B$212,$AW539),"")</f>
        <v/>
      </c>
      <c r="M539" s="11" t="str">
        <f>IF(AND(ROW()-1&lt;=教室申込!$K$5,教室申込!$K$7=0,COUNTA(教室申込!$C$4)=1),INDEX(教室申込!$C$1:$C$212,$AW539),"")</f>
        <v/>
      </c>
      <c r="N539" s="11"/>
      <c r="O539" s="12" t="str">
        <f>IF(AND(ROW()-1&lt;=教室申込!$K$5,教室申込!$K$7=0,COUNTA(教室申込!$C$4)=1),INDEX(展開用!$G$2:$G$601,MATCH(ROW()-1,展開用!$E$2:$E$601,0)),"")</f>
        <v/>
      </c>
      <c r="P539" s="11"/>
      <c r="Q539" s="11"/>
      <c r="R539" s="11"/>
      <c r="S539" s="11"/>
      <c r="T539" s="11"/>
      <c r="U539" s="11" t="str">
        <f>IF(AND(ROW()-1&lt;=教室申込!$K$5,教室申込!$K$7=0,COUNTA(教室申込!$C$4)=1),INDEX(展開用!$F$2:$F$601,MATCH(ROW()-1,展開用!$E$2:$E$601,0)),"")</f>
        <v/>
      </c>
      <c r="V539" s="11"/>
      <c r="W539" s="11"/>
      <c r="X539" s="11"/>
      <c r="Y539" s="11"/>
      <c r="Z539" s="11"/>
      <c r="AA539" s="11" t="str">
        <f>IF($AW539="","",IF(INDEX(教室申込!$J$1:$J$212,$AW539)="","",INDEX(教室申込!$J$1:$J$212,$AW539)))</f>
        <v/>
      </c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" t="str">
        <f>IF(AND(ROW()-1&lt;=教室申込!$K$5,教室申込!$K$7=0,COUNTA(教室申込!$C$4)=1),INDEX(展開用!$B$2:$B$601,MATCH(ROW()-1,展開用!$E$2:$E$601,0)),"")</f>
        <v/>
      </c>
      <c r="AX539" s="1"/>
      <c r="AY539" s="1"/>
    </row>
    <row r="540" spans="1:51" ht="24" customHeight="1">
      <c r="A540" s="11"/>
      <c r="B540" s="11"/>
      <c r="C540" s="11"/>
      <c r="D540" s="11"/>
      <c r="E540" s="11"/>
      <c r="F540" s="11"/>
      <c r="G540" s="11"/>
      <c r="H540" s="11" t="str">
        <f>IF(AND(ROW()-1&lt;=教室申込!$K$5,教室申込!$K$7=0,COUNTA(教室申込!$C$4)=1),INDEX(展開用!$C$2:$C$601,MATCH(ROW()-1,展開用!$E$2:$E$601,0)),"")</f>
        <v/>
      </c>
      <c r="I540" s="11" t="str">
        <f>IF(AND(ROW()-1&lt;=教室申込!$K$5,教室申込!$K$7=0,COUNTA(教室申込!$C$4)=1),INDEX(展開用!$D$2:$D$601,MATCH(ROW()-1,展開用!$E$2:$E$601,0)),"")</f>
        <v/>
      </c>
      <c r="J540" s="11"/>
      <c r="K540" s="11"/>
      <c r="L540" s="11" t="str">
        <f>IF(AND(ROW()-1&lt;=教室申込!$K$5,教室申込!$K$7=0,COUNTA(教室申込!$C$4)=1),INDEX(教室申込!$B$1:$B$212,$AW540),"")</f>
        <v/>
      </c>
      <c r="M540" s="11" t="str">
        <f>IF(AND(ROW()-1&lt;=教室申込!$K$5,教室申込!$K$7=0,COUNTA(教室申込!$C$4)=1),INDEX(教室申込!$C$1:$C$212,$AW540),"")</f>
        <v/>
      </c>
      <c r="N540" s="11"/>
      <c r="O540" s="12" t="str">
        <f>IF(AND(ROW()-1&lt;=教室申込!$K$5,教室申込!$K$7=0,COUNTA(教室申込!$C$4)=1),INDEX(展開用!$G$2:$G$601,MATCH(ROW()-1,展開用!$E$2:$E$601,0)),"")</f>
        <v/>
      </c>
      <c r="P540" s="11"/>
      <c r="Q540" s="11"/>
      <c r="R540" s="11"/>
      <c r="S540" s="11"/>
      <c r="T540" s="11"/>
      <c r="U540" s="11" t="str">
        <f>IF(AND(ROW()-1&lt;=教室申込!$K$5,教室申込!$K$7=0,COUNTA(教室申込!$C$4)=1),INDEX(展開用!$F$2:$F$601,MATCH(ROW()-1,展開用!$E$2:$E$601,0)),"")</f>
        <v/>
      </c>
      <c r="V540" s="11"/>
      <c r="W540" s="11"/>
      <c r="X540" s="11"/>
      <c r="Y540" s="11"/>
      <c r="Z540" s="11"/>
      <c r="AA540" s="11" t="str">
        <f>IF($AW540="","",IF(INDEX(教室申込!$J$1:$J$212,$AW540)="","",INDEX(教室申込!$J$1:$J$212,$AW540)))</f>
        <v/>
      </c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" t="str">
        <f>IF(AND(ROW()-1&lt;=教室申込!$K$5,教室申込!$K$7=0,COUNTA(教室申込!$C$4)=1),INDEX(展開用!$B$2:$B$601,MATCH(ROW()-1,展開用!$E$2:$E$601,0)),"")</f>
        <v/>
      </c>
      <c r="AX540" s="1"/>
      <c r="AY540" s="1"/>
    </row>
    <row r="541" spans="1:51" ht="24" customHeight="1">
      <c r="A541" s="11"/>
      <c r="B541" s="11"/>
      <c r="C541" s="11"/>
      <c r="D541" s="11"/>
      <c r="E541" s="11"/>
      <c r="F541" s="11"/>
      <c r="G541" s="11"/>
      <c r="H541" s="11" t="str">
        <f>IF(AND(ROW()-1&lt;=教室申込!$K$5,教室申込!$K$7=0,COUNTA(教室申込!$C$4)=1),INDEX(展開用!$C$2:$C$601,MATCH(ROW()-1,展開用!$E$2:$E$601,0)),"")</f>
        <v/>
      </c>
      <c r="I541" s="11" t="str">
        <f>IF(AND(ROW()-1&lt;=教室申込!$K$5,教室申込!$K$7=0,COUNTA(教室申込!$C$4)=1),INDEX(展開用!$D$2:$D$601,MATCH(ROW()-1,展開用!$E$2:$E$601,0)),"")</f>
        <v/>
      </c>
      <c r="J541" s="11"/>
      <c r="K541" s="11"/>
      <c r="L541" s="11" t="str">
        <f>IF(AND(ROW()-1&lt;=教室申込!$K$5,教室申込!$K$7=0,COUNTA(教室申込!$C$4)=1),INDEX(教室申込!$B$1:$B$212,$AW541),"")</f>
        <v/>
      </c>
      <c r="M541" s="11" t="str">
        <f>IF(AND(ROW()-1&lt;=教室申込!$K$5,教室申込!$K$7=0,COUNTA(教室申込!$C$4)=1),INDEX(教室申込!$C$1:$C$212,$AW541),"")</f>
        <v/>
      </c>
      <c r="N541" s="11"/>
      <c r="O541" s="12" t="str">
        <f>IF(AND(ROW()-1&lt;=教室申込!$K$5,教室申込!$K$7=0,COUNTA(教室申込!$C$4)=1),INDEX(展開用!$G$2:$G$601,MATCH(ROW()-1,展開用!$E$2:$E$601,0)),"")</f>
        <v/>
      </c>
      <c r="P541" s="11"/>
      <c r="Q541" s="11"/>
      <c r="R541" s="11"/>
      <c r="S541" s="11"/>
      <c r="T541" s="11"/>
      <c r="U541" s="11" t="str">
        <f>IF(AND(ROW()-1&lt;=教室申込!$K$5,教室申込!$K$7=0,COUNTA(教室申込!$C$4)=1),INDEX(展開用!$F$2:$F$601,MATCH(ROW()-1,展開用!$E$2:$E$601,0)),"")</f>
        <v/>
      </c>
      <c r="V541" s="11"/>
      <c r="W541" s="11"/>
      <c r="X541" s="11"/>
      <c r="Y541" s="11"/>
      <c r="Z541" s="11"/>
      <c r="AA541" s="11" t="str">
        <f>IF($AW541="","",IF(INDEX(教室申込!$J$1:$J$212,$AW541)="","",INDEX(教室申込!$J$1:$J$212,$AW541)))</f>
        <v/>
      </c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" t="str">
        <f>IF(AND(ROW()-1&lt;=教室申込!$K$5,教室申込!$K$7=0,COUNTA(教室申込!$C$4)=1),INDEX(展開用!$B$2:$B$601,MATCH(ROW()-1,展開用!$E$2:$E$601,0)),"")</f>
        <v/>
      </c>
      <c r="AX541" s="1"/>
      <c r="AY541" s="1"/>
    </row>
    <row r="542" spans="1:51" ht="24" customHeight="1">
      <c r="A542" s="11"/>
      <c r="B542" s="11"/>
      <c r="C542" s="11"/>
      <c r="D542" s="11"/>
      <c r="E542" s="11"/>
      <c r="F542" s="11"/>
      <c r="G542" s="11"/>
      <c r="H542" s="11" t="str">
        <f>IF(AND(ROW()-1&lt;=教室申込!$K$5,教室申込!$K$7=0,COUNTA(教室申込!$C$4)=1),INDEX(展開用!$C$2:$C$601,MATCH(ROW()-1,展開用!$E$2:$E$601,0)),"")</f>
        <v/>
      </c>
      <c r="I542" s="11" t="str">
        <f>IF(AND(ROW()-1&lt;=教室申込!$K$5,教室申込!$K$7=0,COUNTA(教室申込!$C$4)=1),INDEX(展開用!$D$2:$D$601,MATCH(ROW()-1,展開用!$E$2:$E$601,0)),"")</f>
        <v/>
      </c>
      <c r="J542" s="11"/>
      <c r="K542" s="11"/>
      <c r="L542" s="11" t="str">
        <f>IF(AND(ROW()-1&lt;=教室申込!$K$5,教室申込!$K$7=0,COUNTA(教室申込!$C$4)=1),INDEX(教室申込!$B$1:$B$212,$AW542),"")</f>
        <v/>
      </c>
      <c r="M542" s="11" t="str">
        <f>IF(AND(ROW()-1&lt;=教室申込!$K$5,教室申込!$K$7=0,COUNTA(教室申込!$C$4)=1),INDEX(教室申込!$C$1:$C$212,$AW542),"")</f>
        <v/>
      </c>
      <c r="N542" s="11"/>
      <c r="O542" s="12" t="str">
        <f>IF(AND(ROW()-1&lt;=教室申込!$K$5,教室申込!$K$7=0,COUNTA(教室申込!$C$4)=1),INDEX(展開用!$G$2:$G$601,MATCH(ROW()-1,展開用!$E$2:$E$601,0)),"")</f>
        <v/>
      </c>
      <c r="P542" s="11"/>
      <c r="Q542" s="11"/>
      <c r="R542" s="11"/>
      <c r="S542" s="11"/>
      <c r="T542" s="11"/>
      <c r="U542" s="11" t="str">
        <f>IF(AND(ROW()-1&lt;=教室申込!$K$5,教室申込!$K$7=0,COUNTA(教室申込!$C$4)=1),INDEX(展開用!$F$2:$F$601,MATCH(ROW()-1,展開用!$E$2:$E$601,0)),"")</f>
        <v/>
      </c>
      <c r="V542" s="11"/>
      <c r="W542" s="11"/>
      <c r="X542" s="11"/>
      <c r="Y542" s="11"/>
      <c r="Z542" s="11"/>
      <c r="AA542" s="11" t="str">
        <f>IF($AW542="","",IF(INDEX(教室申込!$J$1:$J$212,$AW542)="","",INDEX(教室申込!$J$1:$J$212,$AW542)))</f>
        <v/>
      </c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" t="str">
        <f>IF(AND(ROW()-1&lt;=教室申込!$K$5,教室申込!$K$7=0,COUNTA(教室申込!$C$4)=1),INDEX(展開用!$B$2:$B$601,MATCH(ROW()-1,展開用!$E$2:$E$601,0)),"")</f>
        <v/>
      </c>
      <c r="AX542" s="1"/>
      <c r="AY542" s="1"/>
    </row>
    <row r="543" spans="1:51" ht="24" customHeight="1">
      <c r="A543" s="11"/>
      <c r="B543" s="11"/>
      <c r="C543" s="11"/>
      <c r="D543" s="11"/>
      <c r="E543" s="11"/>
      <c r="F543" s="11"/>
      <c r="G543" s="11"/>
      <c r="H543" s="11" t="str">
        <f>IF(AND(ROW()-1&lt;=教室申込!$K$5,教室申込!$K$7=0,COUNTA(教室申込!$C$4)=1),INDEX(展開用!$C$2:$C$601,MATCH(ROW()-1,展開用!$E$2:$E$601,0)),"")</f>
        <v/>
      </c>
      <c r="I543" s="11" t="str">
        <f>IF(AND(ROW()-1&lt;=教室申込!$K$5,教室申込!$K$7=0,COUNTA(教室申込!$C$4)=1),INDEX(展開用!$D$2:$D$601,MATCH(ROW()-1,展開用!$E$2:$E$601,0)),"")</f>
        <v/>
      </c>
      <c r="J543" s="11"/>
      <c r="K543" s="11"/>
      <c r="L543" s="11" t="str">
        <f>IF(AND(ROW()-1&lt;=教室申込!$K$5,教室申込!$K$7=0,COUNTA(教室申込!$C$4)=1),INDEX(教室申込!$B$1:$B$212,$AW543),"")</f>
        <v/>
      </c>
      <c r="M543" s="11" t="str">
        <f>IF(AND(ROW()-1&lt;=教室申込!$K$5,教室申込!$K$7=0,COUNTA(教室申込!$C$4)=1),INDEX(教室申込!$C$1:$C$212,$AW543),"")</f>
        <v/>
      </c>
      <c r="N543" s="11"/>
      <c r="O543" s="12" t="str">
        <f>IF(AND(ROW()-1&lt;=教室申込!$K$5,教室申込!$K$7=0,COUNTA(教室申込!$C$4)=1),INDEX(展開用!$G$2:$G$601,MATCH(ROW()-1,展開用!$E$2:$E$601,0)),"")</f>
        <v/>
      </c>
      <c r="P543" s="11"/>
      <c r="Q543" s="11"/>
      <c r="R543" s="11"/>
      <c r="S543" s="11"/>
      <c r="T543" s="11"/>
      <c r="U543" s="11" t="str">
        <f>IF(AND(ROW()-1&lt;=教室申込!$K$5,教室申込!$K$7=0,COUNTA(教室申込!$C$4)=1),INDEX(展開用!$F$2:$F$601,MATCH(ROW()-1,展開用!$E$2:$E$601,0)),"")</f>
        <v/>
      </c>
      <c r="V543" s="11"/>
      <c r="W543" s="11"/>
      <c r="X543" s="11"/>
      <c r="Y543" s="11"/>
      <c r="Z543" s="11"/>
      <c r="AA543" s="11" t="str">
        <f>IF($AW543="","",IF(INDEX(教室申込!$J$1:$J$212,$AW543)="","",INDEX(教室申込!$J$1:$J$212,$AW543)))</f>
        <v/>
      </c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" t="str">
        <f>IF(AND(ROW()-1&lt;=教室申込!$K$5,教室申込!$K$7=0,COUNTA(教室申込!$C$4)=1),INDEX(展開用!$B$2:$B$601,MATCH(ROW()-1,展開用!$E$2:$E$601,0)),"")</f>
        <v/>
      </c>
      <c r="AX543" s="1"/>
      <c r="AY543" s="1"/>
    </row>
    <row r="544" spans="1:51" ht="24" customHeight="1">
      <c r="A544" s="11"/>
      <c r="B544" s="11"/>
      <c r="C544" s="11"/>
      <c r="D544" s="11"/>
      <c r="E544" s="11"/>
      <c r="F544" s="11"/>
      <c r="G544" s="11"/>
      <c r="H544" s="11" t="str">
        <f>IF(AND(ROW()-1&lt;=教室申込!$K$5,教室申込!$K$7=0,COUNTA(教室申込!$C$4)=1),INDEX(展開用!$C$2:$C$601,MATCH(ROW()-1,展開用!$E$2:$E$601,0)),"")</f>
        <v/>
      </c>
      <c r="I544" s="11" t="str">
        <f>IF(AND(ROW()-1&lt;=教室申込!$K$5,教室申込!$K$7=0,COUNTA(教室申込!$C$4)=1),INDEX(展開用!$D$2:$D$601,MATCH(ROW()-1,展開用!$E$2:$E$601,0)),"")</f>
        <v/>
      </c>
      <c r="J544" s="11"/>
      <c r="K544" s="11"/>
      <c r="L544" s="11" t="str">
        <f>IF(AND(ROW()-1&lt;=教室申込!$K$5,教室申込!$K$7=0,COUNTA(教室申込!$C$4)=1),INDEX(教室申込!$B$1:$B$212,$AW544),"")</f>
        <v/>
      </c>
      <c r="M544" s="11" t="str">
        <f>IF(AND(ROW()-1&lt;=教室申込!$K$5,教室申込!$K$7=0,COUNTA(教室申込!$C$4)=1),INDEX(教室申込!$C$1:$C$212,$AW544),"")</f>
        <v/>
      </c>
      <c r="N544" s="11"/>
      <c r="O544" s="12" t="str">
        <f>IF(AND(ROW()-1&lt;=教室申込!$K$5,教室申込!$K$7=0,COUNTA(教室申込!$C$4)=1),INDEX(展開用!$G$2:$G$601,MATCH(ROW()-1,展開用!$E$2:$E$601,0)),"")</f>
        <v/>
      </c>
      <c r="P544" s="11"/>
      <c r="Q544" s="11"/>
      <c r="R544" s="11"/>
      <c r="S544" s="11"/>
      <c r="T544" s="11"/>
      <c r="U544" s="11" t="str">
        <f>IF(AND(ROW()-1&lt;=教室申込!$K$5,教室申込!$K$7=0,COUNTA(教室申込!$C$4)=1),INDEX(展開用!$F$2:$F$601,MATCH(ROW()-1,展開用!$E$2:$E$601,0)),"")</f>
        <v/>
      </c>
      <c r="V544" s="11"/>
      <c r="W544" s="11"/>
      <c r="X544" s="11"/>
      <c r="Y544" s="11"/>
      <c r="Z544" s="11"/>
      <c r="AA544" s="11" t="str">
        <f>IF($AW544="","",IF(INDEX(教室申込!$J$1:$J$212,$AW544)="","",INDEX(教室申込!$J$1:$J$212,$AW544)))</f>
        <v/>
      </c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" t="str">
        <f>IF(AND(ROW()-1&lt;=教室申込!$K$5,教室申込!$K$7=0,COUNTA(教室申込!$C$4)=1),INDEX(展開用!$B$2:$B$601,MATCH(ROW()-1,展開用!$E$2:$E$601,0)),"")</f>
        <v/>
      </c>
      <c r="AX544" s="1"/>
      <c r="AY544" s="1"/>
    </row>
    <row r="545" spans="1:51" ht="24" customHeight="1">
      <c r="A545" s="11"/>
      <c r="B545" s="11"/>
      <c r="C545" s="11"/>
      <c r="D545" s="11"/>
      <c r="E545" s="11"/>
      <c r="F545" s="11"/>
      <c r="G545" s="11"/>
      <c r="H545" s="11" t="str">
        <f>IF(AND(ROW()-1&lt;=教室申込!$K$5,教室申込!$K$7=0,COUNTA(教室申込!$C$4)=1),INDEX(展開用!$C$2:$C$601,MATCH(ROW()-1,展開用!$E$2:$E$601,0)),"")</f>
        <v/>
      </c>
      <c r="I545" s="11" t="str">
        <f>IF(AND(ROW()-1&lt;=教室申込!$K$5,教室申込!$K$7=0,COUNTA(教室申込!$C$4)=1),INDEX(展開用!$D$2:$D$601,MATCH(ROW()-1,展開用!$E$2:$E$601,0)),"")</f>
        <v/>
      </c>
      <c r="J545" s="11"/>
      <c r="K545" s="11"/>
      <c r="L545" s="11" t="str">
        <f>IF(AND(ROW()-1&lt;=教室申込!$K$5,教室申込!$K$7=0,COUNTA(教室申込!$C$4)=1),INDEX(教室申込!$B$1:$B$212,$AW545),"")</f>
        <v/>
      </c>
      <c r="M545" s="11" t="str">
        <f>IF(AND(ROW()-1&lt;=教室申込!$K$5,教室申込!$K$7=0,COUNTA(教室申込!$C$4)=1),INDEX(教室申込!$C$1:$C$212,$AW545),"")</f>
        <v/>
      </c>
      <c r="N545" s="11"/>
      <c r="O545" s="12" t="str">
        <f>IF(AND(ROW()-1&lt;=教室申込!$K$5,教室申込!$K$7=0,COUNTA(教室申込!$C$4)=1),INDEX(展開用!$G$2:$G$601,MATCH(ROW()-1,展開用!$E$2:$E$601,0)),"")</f>
        <v/>
      </c>
      <c r="P545" s="11"/>
      <c r="Q545" s="11"/>
      <c r="R545" s="11"/>
      <c r="S545" s="11"/>
      <c r="T545" s="11"/>
      <c r="U545" s="11" t="str">
        <f>IF(AND(ROW()-1&lt;=教室申込!$K$5,教室申込!$K$7=0,COUNTA(教室申込!$C$4)=1),INDEX(展開用!$F$2:$F$601,MATCH(ROW()-1,展開用!$E$2:$E$601,0)),"")</f>
        <v/>
      </c>
      <c r="V545" s="11"/>
      <c r="W545" s="11"/>
      <c r="X545" s="11"/>
      <c r="Y545" s="11"/>
      <c r="Z545" s="11"/>
      <c r="AA545" s="11" t="str">
        <f>IF($AW545="","",IF(INDEX(教室申込!$J$1:$J$212,$AW545)="","",INDEX(教室申込!$J$1:$J$212,$AW545)))</f>
        <v/>
      </c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" t="str">
        <f>IF(AND(ROW()-1&lt;=教室申込!$K$5,教室申込!$K$7=0,COUNTA(教室申込!$C$4)=1),INDEX(展開用!$B$2:$B$601,MATCH(ROW()-1,展開用!$E$2:$E$601,0)),"")</f>
        <v/>
      </c>
      <c r="AX545" s="1"/>
      <c r="AY545" s="1"/>
    </row>
    <row r="546" spans="1:51" ht="24" customHeight="1">
      <c r="A546" s="11"/>
      <c r="B546" s="11"/>
      <c r="C546" s="11"/>
      <c r="D546" s="11"/>
      <c r="E546" s="11"/>
      <c r="F546" s="11"/>
      <c r="G546" s="11"/>
      <c r="H546" s="11" t="str">
        <f>IF(AND(ROW()-1&lt;=教室申込!$K$5,教室申込!$K$7=0,COUNTA(教室申込!$C$4)=1),INDEX(展開用!$C$2:$C$601,MATCH(ROW()-1,展開用!$E$2:$E$601,0)),"")</f>
        <v/>
      </c>
      <c r="I546" s="11" t="str">
        <f>IF(AND(ROW()-1&lt;=教室申込!$K$5,教室申込!$K$7=0,COUNTA(教室申込!$C$4)=1),INDEX(展開用!$D$2:$D$601,MATCH(ROW()-1,展開用!$E$2:$E$601,0)),"")</f>
        <v/>
      </c>
      <c r="J546" s="11"/>
      <c r="K546" s="11"/>
      <c r="L546" s="11" t="str">
        <f>IF(AND(ROW()-1&lt;=教室申込!$K$5,教室申込!$K$7=0,COUNTA(教室申込!$C$4)=1),INDEX(教室申込!$B$1:$B$212,$AW546),"")</f>
        <v/>
      </c>
      <c r="M546" s="11" t="str">
        <f>IF(AND(ROW()-1&lt;=教室申込!$K$5,教室申込!$K$7=0,COUNTA(教室申込!$C$4)=1),INDEX(教室申込!$C$1:$C$212,$AW546),"")</f>
        <v/>
      </c>
      <c r="N546" s="11"/>
      <c r="O546" s="12" t="str">
        <f>IF(AND(ROW()-1&lt;=教室申込!$K$5,教室申込!$K$7=0,COUNTA(教室申込!$C$4)=1),INDEX(展開用!$G$2:$G$601,MATCH(ROW()-1,展開用!$E$2:$E$601,0)),"")</f>
        <v/>
      </c>
      <c r="P546" s="11"/>
      <c r="Q546" s="11"/>
      <c r="R546" s="11"/>
      <c r="S546" s="11"/>
      <c r="T546" s="11"/>
      <c r="U546" s="11" t="str">
        <f>IF(AND(ROW()-1&lt;=教室申込!$K$5,教室申込!$K$7=0,COUNTA(教室申込!$C$4)=1),INDEX(展開用!$F$2:$F$601,MATCH(ROW()-1,展開用!$E$2:$E$601,0)),"")</f>
        <v/>
      </c>
      <c r="V546" s="11"/>
      <c r="W546" s="11"/>
      <c r="X546" s="11"/>
      <c r="Y546" s="11"/>
      <c r="Z546" s="11"/>
      <c r="AA546" s="11" t="str">
        <f>IF($AW546="","",IF(INDEX(教室申込!$J$1:$J$212,$AW546)="","",INDEX(教室申込!$J$1:$J$212,$AW546)))</f>
        <v/>
      </c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" t="str">
        <f>IF(AND(ROW()-1&lt;=教室申込!$K$5,教室申込!$K$7=0,COUNTA(教室申込!$C$4)=1),INDEX(展開用!$B$2:$B$601,MATCH(ROW()-1,展開用!$E$2:$E$601,0)),"")</f>
        <v/>
      </c>
      <c r="AX546" s="1"/>
      <c r="AY546" s="1"/>
    </row>
    <row r="547" spans="1:51" ht="24" customHeight="1">
      <c r="A547" s="11"/>
      <c r="B547" s="11"/>
      <c r="C547" s="11"/>
      <c r="D547" s="11"/>
      <c r="E547" s="11"/>
      <c r="F547" s="11"/>
      <c r="G547" s="11"/>
      <c r="H547" s="11" t="str">
        <f>IF(AND(ROW()-1&lt;=教室申込!$K$5,教室申込!$K$7=0,COUNTA(教室申込!$C$4)=1),INDEX(展開用!$C$2:$C$601,MATCH(ROW()-1,展開用!$E$2:$E$601,0)),"")</f>
        <v/>
      </c>
      <c r="I547" s="11" t="str">
        <f>IF(AND(ROW()-1&lt;=教室申込!$K$5,教室申込!$K$7=0,COUNTA(教室申込!$C$4)=1),INDEX(展開用!$D$2:$D$601,MATCH(ROW()-1,展開用!$E$2:$E$601,0)),"")</f>
        <v/>
      </c>
      <c r="J547" s="11"/>
      <c r="K547" s="11"/>
      <c r="L547" s="11" t="str">
        <f>IF(AND(ROW()-1&lt;=教室申込!$K$5,教室申込!$K$7=0,COUNTA(教室申込!$C$4)=1),INDEX(教室申込!$B$1:$B$212,$AW547),"")</f>
        <v/>
      </c>
      <c r="M547" s="11" t="str">
        <f>IF(AND(ROW()-1&lt;=教室申込!$K$5,教室申込!$K$7=0,COUNTA(教室申込!$C$4)=1),INDEX(教室申込!$C$1:$C$212,$AW547),"")</f>
        <v/>
      </c>
      <c r="N547" s="11"/>
      <c r="O547" s="12" t="str">
        <f>IF(AND(ROW()-1&lt;=教室申込!$K$5,教室申込!$K$7=0,COUNTA(教室申込!$C$4)=1),INDEX(展開用!$G$2:$G$601,MATCH(ROW()-1,展開用!$E$2:$E$601,0)),"")</f>
        <v/>
      </c>
      <c r="P547" s="11"/>
      <c r="Q547" s="11"/>
      <c r="R547" s="11"/>
      <c r="S547" s="11"/>
      <c r="T547" s="11"/>
      <c r="U547" s="11" t="str">
        <f>IF(AND(ROW()-1&lt;=教室申込!$K$5,教室申込!$K$7=0,COUNTA(教室申込!$C$4)=1),INDEX(展開用!$F$2:$F$601,MATCH(ROW()-1,展開用!$E$2:$E$601,0)),"")</f>
        <v/>
      </c>
      <c r="V547" s="11"/>
      <c r="W547" s="11"/>
      <c r="X547" s="11"/>
      <c r="Y547" s="11"/>
      <c r="Z547" s="11"/>
      <c r="AA547" s="11" t="str">
        <f>IF($AW547="","",IF(INDEX(教室申込!$J$1:$J$212,$AW547)="","",INDEX(教室申込!$J$1:$J$212,$AW547)))</f>
        <v/>
      </c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" t="str">
        <f>IF(AND(ROW()-1&lt;=教室申込!$K$5,教室申込!$K$7=0,COUNTA(教室申込!$C$4)=1),INDEX(展開用!$B$2:$B$601,MATCH(ROW()-1,展開用!$E$2:$E$601,0)),"")</f>
        <v/>
      </c>
      <c r="AX547" s="1"/>
      <c r="AY547" s="1"/>
    </row>
    <row r="548" spans="1:51" ht="24" customHeight="1">
      <c r="A548" s="11"/>
      <c r="B548" s="11"/>
      <c r="C548" s="11"/>
      <c r="D548" s="11"/>
      <c r="E548" s="11"/>
      <c r="F548" s="11"/>
      <c r="G548" s="11"/>
      <c r="H548" s="11" t="str">
        <f>IF(AND(ROW()-1&lt;=教室申込!$K$5,教室申込!$K$7=0,COUNTA(教室申込!$C$4)=1),INDEX(展開用!$C$2:$C$601,MATCH(ROW()-1,展開用!$E$2:$E$601,0)),"")</f>
        <v/>
      </c>
      <c r="I548" s="11" t="str">
        <f>IF(AND(ROW()-1&lt;=教室申込!$K$5,教室申込!$K$7=0,COUNTA(教室申込!$C$4)=1),INDEX(展開用!$D$2:$D$601,MATCH(ROW()-1,展開用!$E$2:$E$601,0)),"")</f>
        <v/>
      </c>
      <c r="J548" s="11"/>
      <c r="K548" s="11"/>
      <c r="L548" s="11" t="str">
        <f>IF(AND(ROW()-1&lt;=教室申込!$K$5,教室申込!$K$7=0,COUNTA(教室申込!$C$4)=1),INDEX(教室申込!$B$1:$B$212,$AW548),"")</f>
        <v/>
      </c>
      <c r="M548" s="11" t="str">
        <f>IF(AND(ROW()-1&lt;=教室申込!$K$5,教室申込!$K$7=0,COUNTA(教室申込!$C$4)=1),INDEX(教室申込!$C$1:$C$212,$AW548),"")</f>
        <v/>
      </c>
      <c r="N548" s="11"/>
      <c r="O548" s="12" t="str">
        <f>IF(AND(ROW()-1&lt;=教室申込!$K$5,教室申込!$K$7=0,COUNTA(教室申込!$C$4)=1),INDEX(展開用!$G$2:$G$601,MATCH(ROW()-1,展開用!$E$2:$E$601,0)),"")</f>
        <v/>
      </c>
      <c r="P548" s="11"/>
      <c r="Q548" s="11"/>
      <c r="R548" s="11"/>
      <c r="S548" s="11"/>
      <c r="T548" s="11"/>
      <c r="U548" s="11" t="str">
        <f>IF(AND(ROW()-1&lt;=教室申込!$K$5,教室申込!$K$7=0,COUNTA(教室申込!$C$4)=1),INDEX(展開用!$F$2:$F$601,MATCH(ROW()-1,展開用!$E$2:$E$601,0)),"")</f>
        <v/>
      </c>
      <c r="V548" s="11"/>
      <c r="W548" s="11"/>
      <c r="X548" s="11"/>
      <c r="Y548" s="11"/>
      <c r="Z548" s="11"/>
      <c r="AA548" s="11" t="str">
        <f>IF($AW548="","",IF(INDEX(教室申込!$J$1:$J$212,$AW548)="","",INDEX(教室申込!$J$1:$J$212,$AW548)))</f>
        <v/>
      </c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" t="str">
        <f>IF(AND(ROW()-1&lt;=教室申込!$K$5,教室申込!$K$7=0,COUNTA(教室申込!$C$4)=1),INDEX(展開用!$B$2:$B$601,MATCH(ROW()-1,展開用!$E$2:$E$601,0)),"")</f>
        <v/>
      </c>
      <c r="AX548" s="1"/>
      <c r="AY548" s="1"/>
    </row>
    <row r="549" spans="1:51" ht="24" customHeight="1">
      <c r="A549" s="11"/>
      <c r="B549" s="11"/>
      <c r="C549" s="11"/>
      <c r="D549" s="11"/>
      <c r="E549" s="11"/>
      <c r="F549" s="11"/>
      <c r="G549" s="11"/>
      <c r="H549" s="11" t="str">
        <f>IF(AND(ROW()-1&lt;=教室申込!$K$5,教室申込!$K$7=0,COUNTA(教室申込!$C$4)=1),INDEX(展開用!$C$2:$C$601,MATCH(ROW()-1,展開用!$E$2:$E$601,0)),"")</f>
        <v/>
      </c>
      <c r="I549" s="11" t="str">
        <f>IF(AND(ROW()-1&lt;=教室申込!$K$5,教室申込!$K$7=0,COUNTA(教室申込!$C$4)=1),INDEX(展開用!$D$2:$D$601,MATCH(ROW()-1,展開用!$E$2:$E$601,0)),"")</f>
        <v/>
      </c>
      <c r="J549" s="11"/>
      <c r="K549" s="11"/>
      <c r="L549" s="11" t="str">
        <f>IF(AND(ROW()-1&lt;=教室申込!$K$5,教室申込!$K$7=0,COUNTA(教室申込!$C$4)=1),INDEX(教室申込!$B$1:$B$212,$AW549),"")</f>
        <v/>
      </c>
      <c r="M549" s="11" t="str">
        <f>IF(AND(ROW()-1&lt;=教室申込!$K$5,教室申込!$K$7=0,COUNTA(教室申込!$C$4)=1),INDEX(教室申込!$C$1:$C$212,$AW549),"")</f>
        <v/>
      </c>
      <c r="N549" s="11"/>
      <c r="O549" s="12" t="str">
        <f>IF(AND(ROW()-1&lt;=教室申込!$K$5,教室申込!$K$7=0,COUNTA(教室申込!$C$4)=1),INDEX(展開用!$G$2:$G$601,MATCH(ROW()-1,展開用!$E$2:$E$601,0)),"")</f>
        <v/>
      </c>
      <c r="P549" s="11"/>
      <c r="Q549" s="11"/>
      <c r="R549" s="11"/>
      <c r="S549" s="11"/>
      <c r="T549" s="11"/>
      <c r="U549" s="11" t="str">
        <f>IF(AND(ROW()-1&lt;=教室申込!$K$5,教室申込!$K$7=0,COUNTA(教室申込!$C$4)=1),INDEX(展開用!$F$2:$F$601,MATCH(ROW()-1,展開用!$E$2:$E$601,0)),"")</f>
        <v/>
      </c>
      <c r="V549" s="11"/>
      <c r="W549" s="11"/>
      <c r="X549" s="11"/>
      <c r="Y549" s="11"/>
      <c r="Z549" s="11"/>
      <c r="AA549" s="11" t="str">
        <f>IF($AW549="","",IF(INDEX(教室申込!$J$1:$J$212,$AW549)="","",INDEX(教室申込!$J$1:$J$212,$AW549)))</f>
        <v/>
      </c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" t="str">
        <f>IF(AND(ROW()-1&lt;=教室申込!$K$5,教室申込!$K$7=0,COUNTA(教室申込!$C$4)=1),INDEX(展開用!$B$2:$B$601,MATCH(ROW()-1,展開用!$E$2:$E$601,0)),"")</f>
        <v/>
      </c>
      <c r="AX549" s="1"/>
      <c r="AY549" s="1"/>
    </row>
    <row r="550" spans="1:51" ht="24" customHeight="1">
      <c r="A550" s="11"/>
      <c r="B550" s="11"/>
      <c r="C550" s="11"/>
      <c r="D550" s="11"/>
      <c r="E550" s="11"/>
      <c r="F550" s="11"/>
      <c r="G550" s="11"/>
      <c r="H550" s="11" t="str">
        <f>IF(AND(ROW()-1&lt;=教室申込!$K$5,教室申込!$K$7=0,COUNTA(教室申込!$C$4)=1),INDEX(展開用!$C$2:$C$601,MATCH(ROW()-1,展開用!$E$2:$E$601,0)),"")</f>
        <v/>
      </c>
      <c r="I550" s="11" t="str">
        <f>IF(AND(ROW()-1&lt;=教室申込!$K$5,教室申込!$K$7=0,COUNTA(教室申込!$C$4)=1),INDEX(展開用!$D$2:$D$601,MATCH(ROW()-1,展開用!$E$2:$E$601,0)),"")</f>
        <v/>
      </c>
      <c r="J550" s="11"/>
      <c r="K550" s="11"/>
      <c r="L550" s="11" t="str">
        <f>IF(AND(ROW()-1&lt;=教室申込!$K$5,教室申込!$K$7=0,COUNTA(教室申込!$C$4)=1),INDEX(教室申込!$B$1:$B$212,$AW550),"")</f>
        <v/>
      </c>
      <c r="M550" s="11" t="str">
        <f>IF(AND(ROW()-1&lt;=教室申込!$K$5,教室申込!$K$7=0,COUNTA(教室申込!$C$4)=1),INDEX(教室申込!$C$1:$C$212,$AW550),"")</f>
        <v/>
      </c>
      <c r="N550" s="11"/>
      <c r="O550" s="12" t="str">
        <f>IF(AND(ROW()-1&lt;=教室申込!$K$5,教室申込!$K$7=0,COUNTA(教室申込!$C$4)=1),INDEX(展開用!$G$2:$G$601,MATCH(ROW()-1,展開用!$E$2:$E$601,0)),"")</f>
        <v/>
      </c>
      <c r="P550" s="11"/>
      <c r="Q550" s="11"/>
      <c r="R550" s="11"/>
      <c r="S550" s="11"/>
      <c r="T550" s="11"/>
      <c r="U550" s="11" t="str">
        <f>IF(AND(ROW()-1&lt;=教室申込!$K$5,教室申込!$K$7=0,COUNTA(教室申込!$C$4)=1),INDEX(展開用!$F$2:$F$601,MATCH(ROW()-1,展開用!$E$2:$E$601,0)),"")</f>
        <v/>
      </c>
      <c r="V550" s="11"/>
      <c r="W550" s="11"/>
      <c r="X550" s="11"/>
      <c r="Y550" s="11"/>
      <c r="Z550" s="11"/>
      <c r="AA550" s="11" t="str">
        <f>IF($AW550="","",IF(INDEX(教室申込!$J$1:$J$212,$AW550)="","",INDEX(教室申込!$J$1:$J$212,$AW550)))</f>
        <v/>
      </c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" t="str">
        <f>IF(AND(ROW()-1&lt;=教室申込!$K$5,教室申込!$K$7=0,COUNTA(教室申込!$C$4)=1),INDEX(展開用!$B$2:$B$601,MATCH(ROW()-1,展開用!$E$2:$E$601,0)),"")</f>
        <v/>
      </c>
      <c r="AX550" s="1"/>
      <c r="AY550" s="1"/>
    </row>
    <row r="551" spans="1:51" ht="24" customHeight="1">
      <c r="A551" s="11"/>
      <c r="B551" s="11"/>
      <c r="C551" s="11"/>
      <c r="D551" s="11"/>
      <c r="E551" s="11"/>
      <c r="F551" s="11"/>
      <c r="G551" s="11"/>
      <c r="H551" s="11" t="str">
        <f>IF(AND(ROW()-1&lt;=教室申込!$K$5,教室申込!$K$7=0,COUNTA(教室申込!$C$4)=1),INDEX(展開用!$C$2:$C$601,MATCH(ROW()-1,展開用!$E$2:$E$601,0)),"")</f>
        <v/>
      </c>
      <c r="I551" s="11" t="str">
        <f>IF(AND(ROW()-1&lt;=教室申込!$K$5,教室申込!$K$7=0,COUNTA(教室申込!$C$4)=1),INDEX(展開用!$D$2:$D$601,MATCH(ROW()-1,展開用!$E$2:$E$601,0)),"")</f>
        <v/>
      </c>
      <c r="J551" s="11"/>
      <c r="K551" s="11"/>
      <c r="L551" s="11" t="str">
        <f>IF(AND(ROW()-1&lt;=教室申込!$K$5,教室申込!$K$7=0,COUNTA(教室申込!$C$4)=1),INDEX(教室申込!$B$1:$B$212,$AW551),"")</f>
        <v/>
      </c>
      <c r="M551" s="11" t="str">
        <f>IF(AND(ROW()-1&lt;=教室申込!$K$5,教室申込!$K$7=0,COUNTA(教室申込!$C$4)=1),INDEX(教室申込!$C$1:$C$212,$AW551),"")</f>
        <v/>
      </c>
      <c r="N551" s="11"/>
      <c r="O551" s="12" t="str">
        <f>IF(AND(ROW()-1&lt;=教室申込!$K$5,教室申込!$K$7=0,COUNTA(教室申込!$C$4)=1),INDEX(展開用!$G$2:$G$601,MATCH(ROW()-1,展開用!$E$2:$E$601,0)),"")</f>
        <v/>
      </c>
      <c r="P551" s="11"/>
      <c r="Q551" s="11"/>
      <c r="R551" s="11"/>
      <c r="S551" s="11"/>
      <c r="T551" s="11"/>
      <c r="U551" s="11" t="str">
        <f>IF(AND(ROW()-1&lt;=教室申込!$K$5,教室申込!$K$7=0,COUNTA(教室申込!$C$4)=1),INDEX(展開用!$F$2:$F$601,MATCH(ROW()-1,展開用!$E$2:$E$601,0)),"")</f>
        <v/>
      </c>
      <c r="V551" s="11"/>
      <c r="W551" s="11"/>
      <c r="X551" s="11"/>
      <c r="Y551" s="11"/>
      <c r="Z551" s="11"/>
      <c r="AA551" s="11" t="str">
        <f>IF($AW551="","",IF(INDEX(教室申込!$J$1:$J$212,$AW551)="","",INDEX(教室申込!$J$1:$J$212,$AW551)))</f>
        <v/>
      </c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" t="str">
        <f>IF(AND(ROW()-1&lt;=教室申込!$K$5,教室申込!$K$7=0,COUNTA(教室申込!$C$4)=1),INDEX(展開用!$B$2:$B$601,MATCH(ROW()-1,展開用!$E$2:$E$601,0)),"")</f>
        <v/>
      </c>
      <c r="AX551" s="1"/>
      <c r="AY551" s="1"/>
    </row>
    <row r="552" spans="1:51" ht="24" customHeight="1">
      <c r="A552" s="11"/>
      <c r="B552" s="11"/>
      <c r="C552" s="11"/>
      <c r="D552" s="11"/>
      <c r="E552" s="11"/>
      <c r="F552" s="11"/>
      <c r="G552" s="11"/>
      <c r="H552" s="11" t="str">
        <f>IF(AND(ROW()-1&lt;=教室申込!$K$5,教室申込!$K$7=0,COUNTA(教室申込!$C$4)=1),INDEX(展開用!$C$2:$C$601,MATCH(ROW()-1,展開用!$E$2:$E$601,0)),"")</f>
        <v/>
      </c>
      <c r="I552" s="11" t="str">
        <f>IF(AND(ROW()-1&lt;=教室申込!$K$5,教室申込!$K$7=0,COUNTA(教室申込!$C$4)=1),INDEX(展開用!$D$2:$D$601,MATCH(ROW()-1,展開用!$E$2:$E$601,0)),"")</f>
        <v/>
      </c>
      <c r="J552" s="11"/>
      <c r="K552" s="11"/>
      <c r="L552" s="11" t="str">
        <f>IF(AND(ROW()-1&lt;=教室申込!$K$5,教室申込!$K$7=0,COUNTA(教室申込!$C$4)=1),INDEX(教室申込!$B$1:$B$212,$AW552),"")</f>
        <v/>
      </c>
      <c r="M552" s="11" t="str">
        <f>IF(AND(ROW()-1&lt;=教室申込!$K$5,教室申込!$K$7=0,COUNTA(教室申込!$C$4)=1),INDEX(教室申込!$C$1:$C$212,$AW552),"")</f>
        <v/>
      </c>
      <c r="N552" s="11"/>
      <c r="O552" s="12" t="str">
        <f>IF(AND(ROW()-1&lt;=教室申込!$K$5,教室申込!$K$7=0,COUNTA(教室申込!$C$4)=1),INDEX(展開用!$G$2:$G$601,MATCH(ROW()-1,展開用!$E$2:$E$601,0)),"")</f>
        <v/>
      </c>
      <c r="P552" s="11"/>
      <c r="Q552" s="11"/>
      <c r="R552" s="11"/>
      <c r="S552" s="11"/>
      <c r="T552" s="11"/>
      <c r="U552" s="11" t="str">
        <f>IF(AND(ROW()-1&lt;=教室申込!$K$5,教室申込!$K$7=0,COUNTA(教室申込!$C$4)=1),INDEX(展開用!$F$2:$F$601,MATCH(ROW()-1,展開用!$E$2:$E$601,0)),"")</f>
        <v/>
      </c>
      <c r="V552" s="11"/>
      <c r="W552" s="11"/>
      <c r="X552" s="11"/>
      <c r="Y552" s="11"/>
      <c r="Z552" s="11"/>
      <c r="AA552" s="11" t="str">
        <f>IF($AW552="","",IF(INDEX(教室申込!$J$1:$J$212,$AW552)="","",INDEX(教室申込!$J$1:$J$212,$AW552)))</f>
        <v/>
      </c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" t="str">
        <f>IF(AND(ROW()-1&lt;=教室申込!$K$5,教室申込!$K$7=0,COUNTA(教室申込!$C$4)=1),INDEX(展開用!$B$2:$B$601,MATCH(ROW()-1,展開用!$E$2:$E$601,0)),"")</f>
        <v/>
      </c>
      <c r="AX552" s="1"/>
      <c r="AY552" s="1"/>
    </row>
    <row r="553" spans="1:51" ht="24" customHeight="1">
      <c r="A553" s="11"/>
      <c r="B553" s="11"/>
      <c r="C553" s="11"/>
      <c r="D553" s="11"/>
      <c r="E553" s="11"/>
      <c r="F553" s="11"/>
      <c r="G553" s="11"/>
      <c r="H553" s="11" t="str">
        <f>IF(AND(ROW()-1&lt;=教室申込!$K$5,教室申込!$K$7=0,COUNTA(教室申込!$C$4)=1),INDEX(展開用!$C$2:$C$601,MATCH(ROW()-1,展開用!$E$2:$E$601,0)),"")</f>
        <v/>
      </c>
      <c r="I553" s="11" t="str">
        <f>IF(AND(ROW()-1&lt;=教室申込!$K$5,教室申込!$K$7=0,COUNTA(教室申込!$C$4)=1),INDEX(展開用!$D$2:$D$601,MATCH(ROW()-1,展開用!$E$2:$E$601,0)),"")</f>
        <v/>
      </c>
      <c r="J553" s="11"/>
      <c r="K553" s="11"/>
      <c r="L553" s="11" t="str">
        <f>IF(AND(ROW()-1&lt;=教室申込!$K$5,教室申込!$K$7=0,COUNTA(教室申込!$C$4)=1),INDEX(教室申込!$B$1:$B$212,$AW553),"")</f>
        <v/>
      </c>
      <c r="M553" s="11" t="str">
        <f>IF(AND(ROW()-1&lt;=教室申込!$K$5,教室申込!$K$7=0,COUNTA(教室申込!$C$4)=1),INDEX(教室申込!$C$1:$C$212,$AW553),"")</f>
        <v/>
      </c>
      <c r="N553" s="11"/>
      <c r="O553" s="12" t="str">
        <f>IF(AND(ROW()-1&lt;=教室申込!$K$5,教室申込!$K$7=0,COUNTA(教室申込!$C$4)=1),INDEX(展開用!$G$2:$G$601,MATCH(ROW()-1,展開用!$E$2:$E$601,0)),"")</f>
        <v/>
      </c>
      <c r="P553" s="11"/>
      <c r="Q553" s="11"/>
      <c r="R553" s="11"/>
      <c r="S553" s="11"/>
      <c r="T553" s="11"/>
      <c r="U553" s="11" t="str">
        <f>IF(AND(ROW()-1&lt;=教室申込!$K$5,教室申込!$K$7=0,COUNTA(教室申込!$C$4)=1),INDEX(展開用!$F$2:$F$601,MATCH(ROW()-1,展開用!$E$2:$E$601,0)),"")</f>
        <v/>
      </c>
      <c r="V553" s="11"/>
      <c r="W553" s="11"/>
      <c r="X553" s="11"/>
      <c r="Y553" s="11"/>
      <c r="Z553" s="11"/>
      <c r="AA553" s="11" t="str">
        <f>IF($AW553="","",IF(INDEX(教室申込!$J$1:$J$212,$AW553)="","",INDEX(教室申込!$J$1:$J$212,$AW553)))</f>
        <v/>
      </c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" t="str">
        <f>IF(AND(ROW()-1&lt;=教室申込!$K$5,教室申込!$K$7=0,COUNTA(教室申込!$C$4)=1),INDEX(展開用!$B$2:$B$601,MATCH(ROW()-1,展開用!$E$2:$E$601,0)),"")</f>
        <v/>
      </c>
      <c r="AX553" s="1"/>
      <c r="AY553" s="1"/>
    </row>
    <row r="554" spans="1:51" ht="24" customHeight="1">
      <c r="A554" s="11"/>
      <c r="B554" s="11"/>
      <c r="C554" s="11"/>
      <c r="D554" s="11"/>
      <c r="E554" s="11"/>
      <c r="F554" s="11"/>
      <c r="G554" s="11"/>
      <c r="H554" s="11" t="str">
        <f>IF(AND(ROW()-1&lt;=教室申込!$K$5,教室申込!$K$7=0,COUNTA(教室申込!$C$4)=1),INDEX(展開用!$C$2:$C$601,MATCH(ROW()-1,展開用!$E$2:$E$601,0)),"")</f>
        <v/>
      </c>
      <c r="I554" s="11" t="str">
        <f>IF(AND(ROW()-1&lt;=教室申込!$K$5,教室申込!$K$7=0,COUNTA(教室申込!$C$4)=1),INDEX(展開用!$D$2:$D$601,MATCH(ROW()-1,展開用!$E$2:$E$601,0)),"")</f>
        <v/>
      </c>
      <c r="J554" s="11"/>
      <c r="K554" s="11"/>
      <c r="L554" s="11" t="str">
        <f>IF(AND(ROW()-1&lt;=教室申込!$K$5,教室申込!$K$7=0,COUNTA(教室申込!$C$4)=1),INDEX(教室申込!$B$1:$B$212,$AW554),"")</f>
        <v/>
      </c>
      <c r="M554" s="11" t="str">
        <f>IF(AND(ROW()-1&lt;=教室申込!$K$5,教室申込!$K$7=0,COUNTA(教室申込!$C$4)=1),INDEX(教室申込!$C$1:$C$212,$AW554),"")</f>
        <v/>
      </c>
      <c r="N554" s="11"/>
      <c r="O554" s="12" t="str">
        <f>IF(AND(ROW()-1&lt;=教室申込!$K$5,教室申込!$K$7=0,COUNTA(教室申込!$C$4)=1),INDEX(展開用!$G$2:$G$601,MATCH(ROW()-1,展開用!$E$2:$E$601,0)),"")</f>
        <v/>
      </c>
      <c r="P554" s="11"/>
      <c r="Q554" s="11"/>
      <c r="R554" s="11"/>
      <c r="S554" s="11"/>
      <c r="T554" s="11"/>
      <c r="U554" s="11" t="str">
        <f>IF(AND(ROW()-1&lt;=教室申込!$K$5,教室申込!$K$7=0,COUNTA(教室申込!$C$4)=1),INDEX(展開用!$F$2:$F$601,MATCH(ROW()-1,展開用!$E$2:$E$601,0)),"")</f>
        <v/>
      </c>
      <c r="V554" s="11"/>
      <c r="W554" s="11"/>
      <c r="X554" s="11"/>
      <c r="Y554" s="11"/>
      <c r="Z554" s="11"/>
      <c r="AA554" s="11" t="str">
        <f>IF($AW554="","",IF(INDEX(教室申込!$J$1:$J$212,$AW554)="","",INDEX(教室申込!$J$1:$J$212,$AW554)))</f>
        <v/>
      </c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" t="str">
        <f>IF(AND(ROW()-1&lt;=教室申込!$K$5,教室申込!$K$7=0,COUNTA(教室申込!$C$4)=1),INDEX(展開用!$B$2:$B$601,MATCH(ROW()-1,展開用!$E$2:$E$601,0)),"")</f>
        <v/>
      </c>
      <c r="AX554" s="1"/>
      <c r="AY554" s="1"/>
    </row>
    <row r="555" spans="1:51" ht="24" customHeight="1">
      <c r="A555" s="11"/>
      <c r="B555" s="11"/>
      <c r="C555" s="11"/>
      <c r="D555" s="11"/>
      <c r="E555" s="11"/>
      <c r="F555" s="11"/>
      <c r="G555" s="11"/>
      <c r="H555" s="11" t="str">
        <f>IF(AND(ROW()-1&lt;=教室申込!$K$5,教室申込!$K$7=0,COUNTA(教室申込!$C$4)=1),INDEX(展開用!$C$2:$C$601,MATCH(ROW()-1,展開用!$E$2:$E$601,0)),"")</f>
        <v/>
      </c>
      <c r="I555" s="11" t="str">
        <f>IF(AND(ROW()-1&lt;=教室申込!$K$5,教室申込!$K$7=0,COUNTA(教室申込!$C$4)=1),INDEX(展開用!$D$2:$D$601,MATCH(ROW()-1,展開用!$E$2:$E$601,0)),"")</f>
        <v/>
      </c>
      <c r="J555" s="11"/>
      <c r="K555" s="11"/>
      <c r="L555" s="11" t="str">
        <f>IF(AND(ROW()-1&lt;=教室申込!$K$5,教室申込!$K$7=0,COUNTA(教室申込!$C$4)=1),INDEX(教室申込!$B$1:$B$212,$AW555),"")</f>
        <v/>
      </c>
      <c r="M555" s="11" t="str">
        <f>IF(AND(ROW()-1&lt;=教室申込!$K$5,教室申込!$K$7=0,COUNTA(教室申込!$C$4)=1),INDEX(教室申込!$C$1:$C$212,$AW555),"")</f>
        <v/>
      </c>
      <c r="N555" s="11"/>
      <c r="O555" s="12" t="str">
        <f>IF(AND(ROW()-1&lt;=教室申込!$K$5,教室申込!$K$7=0,COUNTA(教室申込!$C$4)=1),INDEX(展開用!$G$2:$G$601,MATCH(ROW()-1,展開用!$E$2:$E$601,0)),"")</f>
        <v/>
      </c>
      <c r="P555" s="11"/>
      <c r="Q555" s="11"/>
      <c r="R555" s="11"/>
      <c r="S555" s="11"/>
      <c r="T555" s="11"/>
      <c r="U555" s="11" t="str">
        <f>IF(AND(ROW()-1&lt;=教室申込!$K$5,教室申込!$K$7=0,COUNTA(教室申込!$C$4)=1),INDEX(展開用!$F$2:$F$601,MATCH(ROW()-1,展開用!$E$2:$E$601,0)),"")</f>
        <v/>
      </c>
      <c r="V555" s="11"/>
      <c r="W555" s="11"/>
      <c r="X555" s="11"/>
      <c r="Y555" s="11"/>
      <c r="Z555" s="11"/>
      <c r="AA555" s="11" t="str">
        <f>IF($AW555="","",IF(INDEX(教室申込!$J$1:$J$212,$AW555)="","",INDEX(教室申込!$J$1:$J$212,$AW555)))</f>
        <v/>
      </c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" t="str">
        <f>IF(AND(ROW()-1&lt;=教室申込!$K$5,教室申込!$K$7=0,COUNTA(教室申込!$C$4)=1),INDEX(展開用!$B$2:$B$601,MATCH(ROW()-1,展開用!$E$2:$E$601,0)),"")</f>
        <v/>
      </c>
      <c r="AX555" s="1"/>
      <c r="AY555" s="1"/>
    </row>
    <row r="556" spans="1:51" ht="24" customHeight="1">
      <c r="A556" s="11"/>
      <c r="B556" s="11"/>
      <c r="C556" s="11"/>
      <c r="D556" s="11"/>
      <c r="E556" s="11"/>
      <c r="F556" s="11"/>
      <c r="G556" s="11"/>
      <c r="H556" s="11" t="str">
        <f>IF(AND(ROW()-1&lt;=教室申込!$K$5,教室申込!$K$7=0,COUNTA(教室申込!$C$4)=1),INDEX(展開用!$C$2:$C$601,MATCH(ROW()-1,展開用!$E$2:$E$601,0)),"")</f>
        <v/>
      </c>
      <c r="I556" s="11" t="str">
        <f>IF(AND(ROW()-1&lt;=教室申込!$K$5,教室申込!$K$7=0,COUNTA(教室申込!$C$4)=1),INDEX(展開用!$D$2:$D$601,MATCH(ROW()-1,展開用!$E$2:$E$601,0)),"")</f>
        <v/>
      </c>
      <c r="J556" s="11"/>
      <c r="K556" s="11"/>
      <c r="L556" s="11" t="str">
        <f>IF(AND(ROW()-1&lt;=教室申込!$K$5,教室申込!$K$7=0,COUNTA(教室申込!$C$4)=1),INDEX(教室申込!$B$1:$B$212,$AW556),"")</f>
        <v/>
      </c>
      <c r="M556" s="11" t="str">
        <f>IF(AND(ROW()-1&lt;=教室申込!$K$5,教室申込!$K$7=0,COUNTA(教室申込!$C$4)=1),INDEX(教室申込!$C$1:$C$212,$AW556),"")</f>
        <v/>
      </c>
      <c r="N556" s="11"/>
      <c r="O556" s="12" t="str">
        <f>IF(AND(ROW()-1&lt;=教室申込!$K$5,教室申込!$K$7=0,COUNTA(教室申込!$C$4)=1),INDEX(展開用!$G$2:$G$601,MATCH(ROW()-1,展開用!$E$2:$E$601,0)),"")</f>
        <v/>
      </c>
      <c r="P556" s="11"/>
      <c r="Q556" s="11"/>
      <c r="R556" s="11"/>
      <c r="S556" s="11"/>
      <c r="T556" s="11"/>
      <c r="U556" s="11" t="str">
        <f>IF(AND(ROW()-1&lt;=教室申込!$K$5,教室申込!$K$7=0,COUNTA(教室申込!$C$4)=1),INDEX(展開用!$F$2:$F$601,MATCH(ROW()-1,展開用!$E$2:$E$601,0)),"")</f>
        <v/>
      </c>
      <c r="V556" s="11"/>
      <c r="W556" s="11"/>
      <c r="X556" s="11"/>
      <c r="Y556" s="11"/>
      <c r="Z556" s="11"/>
      <c r="AA556" s="11" t="str">
        <f>IF($AW556="","",IF(INDEX(教室申込!$J$1:$J$212,$AW556)="","",INDEX(教室申込!$J$1:$J$212,$AW556)))</f>
        <v/>
      </c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" t="str">
        <f>IF(AND(ROW()-1&lt;=教室申込!$K$5,教室申込!$K$7=0,COUNTA(教室申込!$C$4)=1),INDEX(展開用!$B$2:$B$601,MATCH(ROW()-1,展開用!$E$2:$E$601,0)),"")</f>
        <v/>
      </c>
      <c r="AX556" s="1"/>
      <c r="AY556" s="1"/>
    </row>
    <row r="557" spans="1:51" ht="24" customHeight="1">
      <c r="A557" s="11"/>
      <c r="B557" s="11"/>
      <c r="C557" s="11"/>
      <c r="D557" s="11"/>
      <c r="E557" s="11"/>
      <c r="F557" s="11"/>
      <c r="G557" s="11"/>
      <c r="H557" s="11" t="str">
        <f>IF(AND(ROW()-1&lt;=教室申込!$K$5,教室申込!$K$7=0,COUNTA(教室申込!$C$4)=1),INDEX(展開用!$C$2:$C$601,MATCH(ROW()-1,展開用!$E$2:$E$601,0)),"")</f>
        <v/>
      </c>
      <c r="I557" s="11" t="str">
        <f>IF(AND(ROW()-1&lt;=教室申込!$K$5,教室申込!$K$7=0,COUNTA(教室申込!$C$4)=1),INDEX(展開用!$D$2:$D$601,MATCH(ROW()-1,展開用!$E$2:$E$601,0)),"")</f>
        <v/>
      </c>
      <c r="J557" s="11"/>
      <c r="K557" s="11"/>
      <c r="L557" s="11" t="str">
        <f>IF(AND(ROW()-1&lt;=教室申込!$K$5,教室申込!$K$7=0,COUNTA(教室申込!$C$4)=1),INDEX(教室申込!$B$1:$B$212,$AW557),"")</f>
        <v/>
      </c>
      <c r="M557" s="11" t="str">
        <f>IF(AND(ROW()-1&lt;=教室申込!$K$5,教室申込!$K$7=0,COUNTA(教室申込!$C$4)=1),INDEX(教室申込!$C$1:$C$212,$AW557),"")</f>
        <v/>
      </c>
      <c r="N557" s="11"/>
      <c r="O557" s="12" t="str">
        <f>IF(AND(ROW()-1&lt;=教室申込!$K$5,教室申込!$K$7=0,COUNTA(教室申込!$C$4)=1),INDEX(展開用!$G$2:$G$601,MATCH(ROW()-1,展開用!$E$2:$E$601,0)),"")</f>
        <v/>
      </c>
      <c r="P557" s="11"/>
      <c r="Q557" s="11"/>
      <c r="R557" s="11"/>
      <c r="S557" s="11"/>
      <c r="T557" s="11"/>
      <c r="U557" s="11" t="str">
        <f>IF(AND(ROW()-1&lt;=教室申込!$K$5,教室申込!$K$7=0,COUNTA(教室申込!$C$4)=1),INDEX(展開用!$F$2:$F$601,MATCH(ROW()-1,展開用!$E$2:$E$601,0)),"")</f>
        <v/>
      </c>
      <c r="V557" s="11"/>
      <c r="W557" s="11"/>
      <c r="X557" s="11"/>
      <c r="Y557" s="11"/>
      <c r="Z557" s="11"/>
      <c r="AA557" s="11" t="str">
        <f>IF($AW557="","",IF(INDEX(教室申込!$J$1:$J$212,$AW557)="","",INDEX(教室申込!$J$1:$J$212,$AW557)))</f>
        <v/>
      </c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" t="str">
        <f>IF(AND(ROW()-1&lt;=教室申込!$K$5,教室申込!$K$7=0,COUNTA(教室申込!$C$4)=1),INDEX(展開用!$B$2:$B$601,MATCH(ROW()-1,展開用!$E$2:$E$601,0)),"")</f>
        <v/>
      </c>
      <c r="AX557" s="1"/>
      <c r="AY557" s="1"/>
    </row>
    <row r="558" spans="1:51" ht="24" customHeight="1">
      <c r="A558" s="11"/>
      <c r="B558" s="11"/>
      <c r="C558" s="11"/>
      <c r="D558" s="11"/>
      <c r="E558" s="11"/>
      <c r="F558" s="11"/>
      <c r="G558" s="11"/>
      <c r="H558" s="11" t="str">
        <f>IF(AND(ROW()-1&lt;=教室申込!$K$5,教室申込!$K$7=0,COUNTA(教室申込!$C$4)=1),INDEX(展開用!$C$2:$C$601,MATCH(ROW()-1,展開用!$E$2:$E$601,0)),"")</f>
        <v/>
      </c>
      <c r="I558" s="11" t="str">
        <f>IF(AND(ROW()-1&lt;=教室申込!$K$5,教室申込!$K$7=0,COUNTA(教室申込!$C$4)=1),INDEX(展開用!$D$2:$D$601,MATCH(ROW()-1,展開用!$E$2:$E$601,0)),"")</f>
        <v/>
      </c>
      <c r="J558" s="11"/>
      <c r="K558" s="11"/>
      <c r="L558" s="11" t="str">
        <f>IF(AND(ROW()-1&lt;=教室申込!$K$5,教室申込!$K$7=0,COUNTA(教室申込!$C$4)=1),INDEX(教室申込!$B$1:$B$212,$AW558),"")</f>
        <v/>
      </c>
      <c r="M558" s="11" t="str">
        <f>IF(AND(ROW()-1&lt;=教室申込!$K$5,教室申込!$K$7=0,COUNTA(教室申込!$C$4)=1),INDEX(教室申込!$C$1:$C$212,$AW558),"")</f>
        <v/>
      </c>
      <c r="N558" s="11"/>
      <c r="O558" s="12" t="str">
        <f>IF(AND(ROW()-1&lt;=教室申込!$K$5,教室申込!$K$7=0,COUNTA(教室申込!$C$4)=1),INDEX(展開用!$G$2:$G$601,MATCH(ROW()-1,展開用!$E$2:$E$601,0)),"")</f>
        <v/>
      </c>
      <c r="P558" s="11"/>
      <c r="Q558" s="11"/>
      <c r="R558" s="11"/>
      <c r="S558" s="11"/>
      <c r="T558" s="11"/>
      <c r="U558" s="11" t="str">
        <f>IF(AND(ROW()-1&lt;=教室申込!$K$5,教室申込!$K$7=0,COUNTA(教室申込!$C$4)=1),INDEX(展開用!$F$2:$F$601,MATCH(ROW()-1,展開用!$E$2:$E$601,0)),"")</f>
        <v/>
      </c>
      <c r="V558" s="11"/>
      <c r="W558" s="11"/>
      <c r="X558" s="11"/>
      <c r="Y558" s="11"/>
      <c r="Z558" s="11"/>
      <c r="AA558" s="11" t="str">
        <f>IF($AW558="","",IF(INDEX(教室申込!$J$1:$J$212,$AW558)="","",INDEX(教室申込!$J$1:$J$212,$AW558)))</f>
        <v/>
      </c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" t="str">
        <f>IF(AND(ROW()-1&lt;=教室申込!$K$5,教室申込!$K$7=0,COUNTA(教室申込!$C$4)=1),INDEX(展開用!$B$2:$B$601,MATCH(ROW()-1,展開用!$E$2:$E$601,0)),"")</f>
        <v/>
      </c>
      <c r="AX558" s="1"/>
      <c r="AY558" s="1"/>
    </row>
    <row r="559" spans="1:51" ht="24" customHeight="1">
      <c r="A559" s="11"/>
      <c r="B559" s="11"/>
      <c r="C559" s="11"/>
      <c r="D559" s="11"/>
      <c r="E559" s="11"/>
      <c r="F559" s="11"/>
      <c r="G559" s="11"/>
      <c r="H559" s="11" t="str">
        <f>IF(AND(ROW()-1&lt;=教室申込!$K$5,教室申込!$K$7=0,COUNTA(教室申込!$C$4)=1),INDEX(展開用!$C$2:$C$601,MATCH(ROW()-1,展開用!$E$2:$E$601,0)),"")</f>
        <v/>
      </c>
      <c r="I559" s="11" t="str">
        <f>IF(AND(ROW()-1&lt;=教室申込!$K$5,教室申込!$K$7=0,COUNTA(教室申込!$C$4)=1),INDEX(展開用!$D$2:$D$601,MATCH(ROW()-1,展開用!$E$2:$E$601,0)),"")</f>
        <v/>
      </c>
      <c r="J559" s="11"/>
      <c r="K559" s="11"/>
      <c r="L559" s="11" t="str">
        <f>IF(AND(ROW()-1&lt;=教室申込!$K$5,教室申込!$K$7=0,COUNTA(教室申込!$C$4)=1),INDEX(教室申込!$B$1:$B$212,$AW559),"")</f>
        <v/>
      </c>
      <c r="M559" s="11" t="str">
        <f>IF(AND(ROW()-1&lt;=教室申込!$K$5,教室申込!$K$7=0,COUNTA(教室申込!$C$4)=1),INDEX(教室申込!$C$1:$C$212,$AW559),"")</f>
        <v/>
      </c>
      <c r="N559" s="11"/>
      <c r="O559" s="12" t="str">
        <f>IF(AND(ROW()-1&lt;=教室申込!$K$5,教室申込!$K$7=0,COUNTA(教室申込!$C$4)=1),INDEX(展開用!$G$2:$G$601,MATCH(ROW()-1,展開用!$E$2:$E$601,0)),"")</f>
        <v/>
      </c>
      <c r="P559" s="11"/>
      <c r="Q559" s="11"/>
      <c r="R559" s="11"/>
      <c r="S559" s="11"/>
      <c r="T559" s="11"/>
      <c r="U559" s="11" t="str">
        <f>IF(AND(ROW()-1&lt;=教室申込!$K$5,教室申込!$K$7=0,COUNTA(教室申込!$C$4)=1),INDEX(展開用!$F$2:$F$601,MATCH(ROW()-1,展開用!$E$2:$E$601,0)),"")</f>
        <v/>
      </c>
      <c r="V559" s="11"/>
      <c r="W559" s="11"/>
      <c r="X559" s="11"/>
      <c r="Y559" s="11"/>
      <c r="Z559" s="11"/>
      <c r="AA559" s="11" t="str">
        <f>IF($AW559="","",IF(INDEX(教室申込!$J$1:$J$212,$AW559)="","",INDEX(教室申込!$J$1:$J$212,$AW559)))</f>
        <v/>
      </c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" t="str">
        <f>IF(AND(ROW()-1&lt;=教室申込!$K$5,教室申込!$K$7=0,COUNTA(教室申込!$C$4)=1),INDEX(展開用!$B$2:$B$601,MATCH(ROW()-1,展開用!$E$2:$E$601,0)),"")</f>
        <v/>
      </c>
      <c r="AX559" s="1"/>
      <c r="AY559" s="1"/>
    </row>
    <row r="560" spans="1:51" ht="24" customHeight="1">
      <c r="A560" s="11"/>
      <c r="B560" s="11"/>
      <c r="C560" s="11"/>
      <c r="D560" s="11"/>
      <c r="E560" s="11"/>
      <c r="F560" s="11"/>
      <c r="G560" s="11"/>
      <c r="H560" s="11" t="str">
        <f>IF(AND(ROW()-1&lt;=教室申込!$K$5,教室申込!$K$7=0,COUNTA(教室申込!$C$4)=1),INDEX(展開用!$C$2:$C$601,MATCH(ROW()-1,展開用!$E$2:$E$601,0)),"")</f>
        <v/>
      </c>
      <c r="I560" s="11" t="str">
        <f>IF(AND(ROW()-1&lt;=教室申込!$K$5,教室申込!$K$7=0,COUNTA(教室申込!$C$4)=1),INDEX(展開用!$D$2:$D$601,MATCH(ROW()-1,展開用!$E$2:$E$601,0)),"")</f>
        <v/>
      </c>
      <c r="J560" s="11"/>
      <c r="K560" s="11"/>
      <c r="L560" s="11" t="str">
        <f>IF(AND(ROW()-1&lt;=教室申込!$K$5,教室申込!$K$7=0,COUNTA(教室申込!$C$4)=1),INDEX(教室申込!$B$1:$B$212,$AW560),"")</f>
        <v/>
      </c>
      <c r="M560" s="11" t="str">
        <f>IF(AND(ROW()-1&lt;=教室申込!$K$5,教室申込!$K$7=0,COUNTA(教室申込!$C$4)=1),INDEX(教室申込!$C$1:$C$212,$AW560),"")</f>
        <v/>
      </c>
      <c r="N560" s="11"/>
      <c r="O560" s="12" t="str">
        <f>IF(AND(ROW()-1&lt;=教室申込!$K$5,教室申込!$K$7=0,COUNTA(教室申込!$C$4)=1),INDEX(展開用!$G$2:$G$601,MATCH(ROW()-1,展開用!$E$2:$E$601,0)),"")</f>
        <v/>
      </c>
      <c r="P560" s="11"/>
      <c r="Q560" s="11"/>
      <c r="R560" s="11"/>
      <c r="S560" s="11"/>
      <c r="T560" s="11"/>
      <c r="U560" s="11" t="str">
        <f>IF(AND(ROW()-1&lt;=教室申込!$K$5,教室申込!$K$7=0,COUNTA(教室申込!$C$4)=1),INDEX(展開用!$F$2:$F$601,MATCH(ROW()-1,展開用!$E$2:$E$601,0)),"")</f>
        <v/>
      </c>
      <c r="V560" s="11"/>
      <c r="W560" s="11"/>
      <c r="X560" s="11"/>
      <c r="Y560" s="11"/>
      <c r="Z560" s="11"/>
      <c r="AA560" s="11" t="str">
        <f>IF($AW560="","",IF(INDEX(教室申込!$J$1:$J$212,$AW560)="","",INDEX(教室申込!$J$1:$J$212,$AW560)))</f>
        <v/>
      </c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" t="str">
        <f>IF(AND(ROW()-1&lt;=教室申込!$K$5,教室申込!$K$7=0,COUNTA(教室申込!$C$4)=1),INDEX(展開用!$B$2:$B$601,MATCH(ROW()-1,展開用!$E$2:$E$601,0)),"")</f>
        <v/>
      </c>
      <c r="AX560" s="1"/>
      <c r="AY560" s="1"/>
    </row>
    <row r="561" spans="1:51" ht="24" customHeight="1">
      <c r="A561" s="11"/>
      <c r="B561" s="11"/>
      <c r="C561" s="11"/>
      <c r="D561" s="11"/>
      <c r="E561" s="11"/>
      <c r="F561" s="11"/>
      <c r="G561" s="11"/>
      <c r="H561" s="11" t="str">
        <f>IF(AND(ROW()-1&lt;=教室申込!$K$5,教室申込!$K$7=0,COUNTA(教室申込!$C$4)=1),INDEX(展開用!$C$2:$C$601,MATCH(ROW()-1,展開用!$E$2:$E$601,0)),"")</f>
        <v/>
      </c>
      <c r="I561" s="11" t="str">
        <f>IF(AND(ROW()-1&lt;=教室申込!$K$5,教室申込!$K$7=0,COUNTA(教室申込!$C$4)=1),INDEX(展開用!$D$2:$D$601,MATCH(ROW()-1,展開用!$E$2:$E$601,0)),"")</f>
        <v/>
      </c>
      <c r="J561" s="11"/>
      <c r="K561" s="11"/>
      <c r="L561" s="11" t="str">
        <f>IF(AND(ROW()-1&lt;=教室申込!$K$5,教室申込!$K$7=0,COUNTA(教室申込!$C$4)=1),INDEX(教室申込!$B$1:$B$212,$AW561),"")</f>
        <v/>
      </c>
      <c r="M561" s="11" t="str">
        <f>IF(AND(ROW()-1&lt;=教室申込!$K$5,教室申込!$K$7=0,COUNTA(教室申込!$C$4)=1),INDEX(教室申込!$C$1:$C$212,$AW561),"")</f>
        <v/>
      </c>
      <c r="N561" s="11"/>
      <c r="O561" s="12" t="str">
        <f>IF(AND(ROW()-1&lt;=教室申込!$K$5,教室申込!$K$7=0,COUNTA(教室申込!$C$4)=1),INDEX(展開用!$G$2:$G$601,MATCH(ROW()-1,展開用!$E$2:$E$601,0)),"")</f>
        <v/>
      </c>
      <c r="P561" s="11"/>
      <c r="Q561" s="11"/>
      <c r="R561" s="11"/>
      <c r="S561" s="11"/>
      <c r="T561" s="11"/>
      <c r="U561" s="11" t="str">
        <f>IF(AND(ROW()-1&lt;=教室申込!$K$5,教室申込!$K$7=0,COUNTA(教室申込!$C$4)=1),INDEX(展開用!$F$2:$F$601,MATCH(ROW()-1,展開用!$E$2:$E$601,0)),"")</f>
        <v/>
      </c>
      <c r="V561" s="11"/>
      <c r="W561" s="11"/>
      <c r="X561" s="11"/>
      <c r="Y561" s="11"/>
      <c r="Z561" s="11"/>
      <c r="AA561" s="11" t="str">
        <f>IF($AW561="","",IF(INDEX(教室申込!$J$1:$J$212,$AW561)="","",INDEX(教室申込!$J$1:$J$212,$AW561)))</f>
        <v/>
      </c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" t="str">
        <f>IF(AND(ROW()-1&lt;=教室申込!$K$5,教室申込!$K$7=0,COUNTA(教室申込!$C$4)=1),INDEX(展開用!$B$2:$B$601,MATCH(ROW()-1,展開用!$E$2:$E$601,0)),"")</f>
        <v/>
      </c>
      <c r="AX561" s="1"/>
      <c r="AY561" s="1"/>
    </row>
    <row r="562" spans="1:51" ht="24" customHeight="1">
      <c r="A562" s="11"/>
      <c r="B562" s="11"/>
      <c r="C562" s="11"/>
      <c r="D562" s="11"/>
      <c r="E562" s="11"/>
      <c r="F562" s="11"/>
      <c r="G562" s="11"/>
      <c r="H562" s="11" t="str">
        <f>IF(AND(ROW()-1&lt;=教室申込!$K$5,教室申込!$K$7=0,COUNTA(教室申込!$C$4)=1),INDEX(展開用!$C$2:$C$601,MATCH(ROW()-1,展開用!$E$2:$E$601,0)),"")</f>
        <v/>
      </c>
      <c r="I562" s="11" t="str">
        <f>IF(AND(ROW()-1&lt;=教室申込!$K$5,教室申込!$K$7=0,COUNTA(教室申込!$C$4)=1),INDEX(展開用!$D$2:$D$601,MATCH(ROW()-1,展開用!$E$2:$E$601,0)),"")</f>
        <v/>
      </c>
      <c r="J562" s="11"/>
      <c r="K562" s="11"/>
      <c r="L562" s="11" t="str">
        <f>IF(AND(ROW()-1&lt;=教室申込!$K$5,教室申込!$K$7=0,COUNTA(教室申込!$C$4)=1),INDEX(教室申込!$B$1:$B$212,$AW562),"")</f>
        <v/>
      </c>
      <c r="M562" s="11" t="str">
        <f>IF(AND(ROW()-1&lt;=教室申込!$K$5,教室申込!$K$7=0,COUNTA(教室申込!$C$4)=1),INDEX(教室申込!$C$1:$C$212,$AW562),"")</f>
        <v/>
      </c>
      <c r="N562" s="11"/>
      <c r="O562" s="12" t="str">
        <f>IF(AND(ROW()-1&lt;=教室申込!$K$5,教室申込!$K$7=0,COUNTA(教室申込!$C$4)=1),INDEX(展開用!$G$2:$G$601,MATCH(ROW()-1,展開用!$E$2:$E$601,0)),"")</f>
        <v/>
      </c>
      <c r="P562" s="11"/>
      <c r="Q562" s="11"/>
      <c r="R562" s="11"/>
      <c r="S562" s="11"/>
      <c r="T562" s="11"/>
      <c r="U562" s="11" t="str">
        <f>IF(AND(ROW()-1&lt;=教室申込!$K$5,教室申込!$K$7=0,COUNTA(教室申込!$C$4)=1),INDEX(展開用!$F$2:$F$601,MATCH(ROW()-1,展開用!$E$2:$E$601,0)),"")</f>
        <v/>
      </c>
      <c r="V562" s="11"/>
      <c r="W562" s="11"/>
      <c r="X562" s="11"/>
      <c r="Y562" s="11"/>
      <c r="Z562" s="11"/>
      <c r="AA562" s="11" t="str">
        <f>IF($AW562="","",IF(INDEX(教室申込!$J$1:$J$212,$AW562)="","",INDEX(教室申込!$J$1:$J$212,$AW562)))</f>
        <v/>
      </c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" t="str">
        <f>IF(AND(ROW()-1&lt;=教室申込!$K$5,教室申込!$K$7=0,COUNTA(教室申込!$C$4)=1),INDEX(展開用!$B$2:$B$601,MATCH(ROW()-1,展開用!$E$2:$E$601,0)),"")</f>
        <v/>
      </c>
      <c r="AX562" s="1"/>
      <c r="AY562" s="1"/>
    </row>
    <row r="563" spans="1:51" ht="24" customHeight="1">
      <c r="A563" s="11"/>
      <c r="B563" s="11"/>
      <c r="C563" s="11"/>
      <c r="D563" s="11"/>
      <c r="E563" s="11"/>
      <c r="F563" s="11"/>
      <c r="G563" s="11"/>
      <c r="H563" s="11" t="str">
        <f>IF(AND(ROW()-1&lt;=教室申込!$K$5,教室申込!$K$7=0,COUNTA(教室申込!$C$4)=1),INDEX(展開用!$C$2:$C$601,MATCH(ROW()-1,展開用!$E$2:$E$601,0)),"")</f>
        <v/>
      </c>
      <c r="I563" s="11" t="str">
        <f>IF(AND(ROW()-1&lt;=教室申込!$K$5,教室申込!$K$7=0,COUNTA(教室申込!$C$4)=1),INDEX(展開用!$D$2:$D$601,MATCH(ROW()-1,展開用!$E$2:$E$601,0)),"")</f>
        <v/>
      </c>
      <c r="J563" s="11"/>
      <c r="K563" s="11"/>
      <c r="L563" s="11" t="str">
        <f>IF(AND(ROW()-1&lt;=教室申込!$K$5,教室申込!$K$7=0,COUNTA(教室申込!$C$4)=1),INDEX(教室申込!$B$1:$B$212,$AW563),"")</f>
        <v/>
      </c>
      <c r="M563" s="11" t="str">
        <f>IF(AND(ROW()-1&lt;=教室申込!$K$5,教室申込!$K$7=0,COUNTA(教室申込!$C$4)=1),INDEX(教室申込!$C$1:$C$212,$AW563),"")</f>
        <v/>
      </c>
      <c r="N563" s="11"/>
      <c r="O563" s="12" t="str">
        <f>IF(AND(ROW()-1&lt;=教室申込!$K$5,教室申込!$K$7=0,COUNTA(教室申込!$C$4)=1),INDEX(展開用!$G$2:$G$601,MATCH(ROW()-1,展開用!$E$2:$E$601,0)),"")</f>
        <v/>
      </c>
      <c r="P563" s="11"/>
      <c r="Q563" s="11"/>
      <c r="R563" s="11"/>
      <c r="S563" s="11"/>
      <c r="T563" s="11"/>
      <c r="U563" s="11" t="str">
        <f>IF(AND(ROW()-1&lt;=教室申込!$K$5,教室申込!$K$7=0,COUNTA(教室申込!$C$4)=1),INDEX(展開用!$F$2:$F$601,MATCH(ROW()-1,展開用!$E$2:$E$601,0)),"")</f>
        <v/>
      </c>
      <c r="V563" s="11"/>
      <c r="W563" s="11"/>
      <c r="X563" s="11"/>
      <c r="Y563" s="11"/>
      <c r="Z563" s="11"/>
      <c r="AA563" s="11" t="str">
        <f>IF($AW563="","",IF(INDEX(教室申込!$J$1:$J$212,$AW563)="","",INDEX(教室申込!$J$1:$J$212,$AW563)))</f>
        <v/>
      </c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" t="str">
        <f>IF(AND(ROW()-1&lt;=教室申込!$K$5,教室申込!$K$7=0,COUNTA(教室申込!$C$4)=1),INDEX(展開用!$B$2:$B$601,MATCH(ROW()-1,展開用!$E$2:$E$601,0)),"")</f>
        <v/>
      </c>
      <c r="AX563" s="1"/>
      <c r="AY563" s="1"/>
    </row>
    <row r="564" spans="1:51" ht="24" customHeight="1">
      <c r="A564" s="11"/>
      <c r="B564" s="11"/>
      <c r="C564" s="11"/>
      <c r="D564" s="11"/>
      <c r="E564" s="11"/>
      <c r="F564" s="11"/>
      <c r="G564" s="11"/>
      <c r="H564" s="11" t="str">
        <f>IF(AND(ROW()-1&lt;=教室申込!$K$5,教室申込!$K$7=0,COUNTA(教室申込!$C$4)=1),INDEX(展開用!$C$2:$C$601,MATCH(ROW()-1,展開用!$E$2:$E$601,0)),"")</f>
        <v/>
      </c>
      <c r="I564" s="11" t="str">
        <f>IF(AND(ROW()-1&lt;=教室申込!$K$5,教室申込!$K$7=0,COUNTA(教室申込!$C$4)=1),INDEX(展開用!$D$2:$D$601,MATCH(ROW()-1,展開用!$E$2:$E$601,0)),"")</f>
        <v/>
      </c>
      <c r="J564" s="11"/>
      <c r="K564" s="11"/>
      <c r="L564" s="11" t="str">
        <f>IF(AND(ROW()-1&lt;=教室申込!$K$5,教室申込!$K$7=0,COUNTA(教室申込!$C$4)=1),INDEX(教室申込!$B$1:$B$212,$AW564),"")</f>
        <v/>
      </c>
      <c r="M564" s="11" t="str">
        <f>IF(AND(ROW()-1&lt;=教室申込!$K$5,教室申込!$K$7=0,COUNTA(教室申込!$C$4)=1),INDEX(教室申込!$C$1:$C$212,$AW564),"")</f>
        <v/>
      </c>
      <c r="N564" s="11"/>
      <c r="O564" s="12" t="str">
        <f>IF(AND(ROW()-1&lt;=教室申込!$K$5,教室申込!$K$7=0,COUNTA(教室申込!$C$4)=1),INDEX(展開用!$G$2:$G$601,MATCH(ROW()-1,展開用!$E$2:$E$601,0)),"")</f>
        <v/>
      </c>
      <c r="P564" s="11"/>
      <c r="Q564" s="11"/>
      <c r="R564" s="11"/>
      <c r="S564" s="11"/>
      <c r="T564" s="11"/>
      <c r="U564" s="11" t="str">
        <f>IF(AND(ROW()-1&lt;=教室申込!$K$5,教室申込!$K$7=0,COUNTA(教室申込!$C$4)=1),INDEX(展開用!$F$2:$F$601,MATCH(ROW()-1,展開用!$E$2:$E$601,0)),"")</f>
        <v/>
      </c>
      <c r="V564" s="11"/>
      <c r="W564" s="11"/>
      <c r="X564" s="11"/>
      <c r="Y564" s="11"/>
      <c r="Z564" s="11"/>
      <c r="AA564" s="11" t="str">
        <f>IF($AW564="","",IF(INDEX(教室申込!$J$1:$J$212,$AW564)="","",INDEX(教室申込!$J$1:$J$212,$AW564)))</f>
        <v/>
      </c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" t="str">
        <f>IF(AND(ROW()-1&lt;=教室申込!$K$5,教室申込!$K$7=0,COUNTA(教室申込!$C$4)=1),INDEX(展開用!$B$2:$B$601,MATCH(ROW()-1,展開用!$E$2:$E$601,0)),"")</f>
        <v/>
      </c>
      <c r="AX564" s="1"/>
      <c r="AY564" s="1"/>
    </row>
    <row r="565" spans="1:51" ht="24" customHeight="1">
      <c r="A565" s="11"/>
      <c r="B565" s="11"/>
      <c r="C565" s="11"/>
      <c r="D565" s="11"/>
      <c r="E565" s="11"/>
      <c r="F565" s="11"/>
      <c r="G565" s="11"/>
      <c r="H565" s="11" t="str">
        <f>IF(AND(ROW()-1&lt;=教室申込!$K$5,教室申込!$K$7=0,COUNTA(教室申込!$C$4)=1),INDEX(展開用!$C$2:$C$601,MATCH(ROW()-1,展開用!$E$2:$E$601,0)),"")</f>
        <v/>
      </c>
      <c r="I565" s="11" t="str">
        <f>IF(AND(ROW()-1&lt;=教室申込!$K$5,教室申込!$K$7=0,COUNTA(教室申込!$C$4)=1),INDEX(展開用!$D$2:$D$601,MATCH(ROW()-1,展開用!$E$2:$E$601,0)),"")</f>
        <v/>
      </c>
      <c r="J565" s="11"/>
      <c r="K565" s="11"/>
      <c r="L565" s="11" t="str">
        <f>IF(AND(ROW()-1&lt;=教室申込!$K$5,教室申込!$K$7=0,COUNTA(教室申込!$C$4)=1),INDEX(教室申込!$B$1:$B$212,$AW565),"")</f>
        <v/>
      </c>
      <c r="M565" s="11" t="str">
        <f>IF(AND(ROW()-1&lt;=教室申込!$K$5,教室申込!$K$7=0,COUNTA(教室申込!$C$4)=1),INDEX(教室申込!$C$1:$C$212,$AW565),"")</f>
        <v/>
      </c>
      <c r="N565" s="11"/>
      <c r="O565" s="12" t="str">
        <f>IF(AND(ROW()-1&lt;=教室申込!$K$5,教室申込!$K$7=0,COUNTA(教室申込!$C$4)=1),INDEX(展開用!$G$2:$G$601,MATCH(ROW()-1,展開用!$E$2:$E$601,0)),"")</f>
        <v/>
      </c>
      <c r="P565" s="11"/>
      <c r="Q565" s="11"/>
      <c r="R565" s="11"/>
      <c r="S565" s="11"/>
      <c r="T565" s="11"/>
      <c r="U565" s="11" t="str">
        <f>IF(AND(ROW()-1&lt;=教室申込!$K$5,教室申込!$K$7=0,COUNTA(教室申込!$C$4)=1),INDEX(展開用!$F$2:$F$601,MATCH(ROW()-1,展開用!$E$2:$E$601,0)),"")</f>
        <v/>
      </c>
      <c r="V565" s="11"/>
      <c r="W565" s="11"/>
      <c r="X565" s="11"/>
      <c r="Y565" s="11"/>
      <c r="Z565" s="11"/>
      <c r="AA565" s="11" t="str">
        <f>IF($AW565="","",IF(INDEX(教室申込!$J$1:$J$212,$AW565)="","",INDEX(教室申込!$J$1:$J$212,$AW565)))</f>
        <v/>
      </c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" t="str">
        <f>IF(AND(ROW()-1&lt;=教室申込!$K$5,教室申込!$K$7=0,COUNTA(教室申込!$C$4)=1),INDEX(展開用!$B$2:$B$601,MATCH(ROW()-1,展開用!$E$2:$E$601,0)),"")</f>
        <v/>
      </c>
      <c r="AX565" s="1"/>
      <c r="AY565" s="1"/>
    </row>
    <row r="566" spans="1:51" ht="24" customHeight="1">
      <c r="A566" s="11"/>
      <c r="B566" s="11"/>
      <c r="C566" s="11"/>
      <c r="D566" s="11"/>
      <c r="E566" s="11"/>
      <c r="F566" s="11"/>
      <c r="G566" s="11"/>
      <c r="H566" s="11" t="str">
        <f>IF(AND(ROW()-1&lt;=教室申込!$K$5,教室申込!$K$7=0,COUNTA(教室申込!$C$4)=1),INDEX(展開用!$C$2:$C$601,MATCH(ROW()-1,展開用!$E$2:$E$601,0)),"")</f>
        <v/>
      </c>
      <c r="I566" s="11" t="str">
        <f>IF(AND(ROW()-1&lt;=教室申込!$K$5,教室申込!$K$7=0,COUNTA(教室申込!$C$4)=1),INDEX(展開用!$D$2:$D$601,MATCH(ROW()-1,展開用!$E$2:$E$601,0)),"")</f>
        <v/>
      </c>
      <c r="J566" s="11"/>
      <c r="K566" s="11"/>
      <c r="L566" s="11" t="str">
        <f>IF(AND(ROW()-1&lt;=教室申込!$K$5,教室申込!$K$7=0,COUNTA(教室申込!$C$4)=1),INDEX(教室申込!$B$1:$B$212,$AW566),"")</f>
        <v/>
      </c>
      <c r="M566" s="11" t="str">
        <f>IF(AND(ROW()-1&lt;=教室申込!$K$5,教室申込!$K$7=0,COUNTA(教室申込!$C$4)=1),INDEX(教室申込!$C$1:$C$212,$AW566),"")</f>
        <v/>
      </c>
      <c r="N566" s="11"/>
      <c r="O566" s="12" t="str">
        <f>IF(AND(ROW()-1&lt;=教室申込!$K$5,教室申込!$K$7=0,COUNTA(教室申込!$C$4)=1),INDEX(展開用!$G$2:$G$601,MATCH(ROW()-1,展開用!$E$2:$E$601,0)),"")</f>
        <v/>
      </c>
      <c r="P566" s="11"/>
      <c r="Q566" s="11"/>
      <c r="R566" s="11"/>
      <c r="S566" s="11"/>
      <c r="T566" s="11"/>
      <c r="U566" s="11" t="str">
        <f>IF(AND(ROW()-1&lt;=教室申込!$K$5,教室申込!$K$7=0,COUNTA(教室申込!$C$4)=1),INDEX(展開用!$F$2:$F$601,MATCH(ROW()-1,展開用!$E$2:$E$601,0)),"")</f>
        <v/>
      </c>
      <c r="V566" s="11"/>
      <c r="W566" s="11"/>
      <c r="X566" s="11"/>
      <c r="Y566" s="11"/>
      <c r="Z566" s="11"/>
      <c r="AA566" s="11" t="str">
        <f>IF($AW566="","",IF(INDEX(教室申込!$J$1:$J$212,$AW566)="","",INDEX(教室申込!$J$1:$J$212,$AW566)))</f>
        <v/>
      </c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" t="str">
        <f>IF(AND(ROW()-1&lt;=教室申込!$K$5,教室申込!$K$7=0,COUNTA(教室申込!$C$4)=1),INDEX(展開用!$B$2:$B$601,MATCH(ROW()-1,展開用!$E$2:$E$601,0)),"")</f>
        <v/>
      </c>
      <c r="AX566" s="1"/>
      <c r="AY566" s="1"/>
    </row>
    <row r="567" spans="1:51" ht="24" customHeight="1">
      <c r="A567" s="11"/>
      <c r="B567" s="11"/>
      <c r="C567" s="11"/>
      <c r="D567" s="11"/>
      <c r="E567" s="11"/>
      <c r="F567" s="11"/>
      <c r="G567" s="11"/>
      <c r="H567" s="11" t="str">
        <f>IF(AND(ROW()-1&lt;=教室申込!$K$5,教室申込!$K$7=0,COUNTA(教室申込!$C$4)=1),INDEX(展開用!$C$2:$C$601,MATCH(ROW()-1,展開用!$E$2:$E$601,0)),"")</f>
        <v/>
      </c>
      <c r="I567" s="11" t="str">
        <f>IF(AND(ROW()-1&lt;=教室申込!$K$5,教室申込!$K$7=0,COUNTA(教室申込!$C$4)=1),INDEX(展開用!$D$2:$D$601,MATCH(ROW()-1,展開用!$E$2:$E$601,0)),"")</f>
        <v/>
      </c>
      <c r="J567" s="11"/>
      <c r="K567" s="11"/>
      <c r="L567" s="11" t="str">
        <f>IF(AND(ROW()-1&lt;=教室申込!$K$5,教室申込!$K$7=0,COUNTA(教室申込!$C$4)=1),INDEX(教室申込!$B$1:$B$212,$AW567),"")</f>
        <v/>
      </c>
      <c r="M567" s="11" t="str">
        <f>IF(AND(ROW()-1&lt;=教室申込!$K$5,教室申込!$K$7=0,COUNTA(教室申込!$C$4)=1),INDEX(教室申込!$C$1:$C$212,$AW567),"")</f>
        <v/>
      </c>
      <c r="N567" s="11"/>
      <c r="O567" s="12" t="str">
        <f>IF(AND(ROW()-1&lt;=教室申込!$K$5,教室申込!$K$7=0,COUNTA(教室申込!$C$4)=1),INDEX(展開用!$G$2:$G$601,MATCH(ROW()-1,展開用!$E$2:$E$601,0)),"")</f>
        <v/>
      </c>
      <c r="P567" s="11"/>
      <c r="Q567" s="11"/>
      <c r="R567" s="11"/>
      <c r="S567" s="11"/>
      <c r="T567" s="11"/>
      <c r="U567" s="11" t="str">
        <f>IF(AND(ROW()-1&lt;=教室申込!$K$5,教室申込!$K$7=0,COUNTA(教室申込!$C$4)=1),INDEX(展開用!$F$2:$F$601,MATCH(ROW()-1,展開用!$E$2:$E$601,0)),"")</f>
        <v/>
      </c>
      <c r="V567" s="11"/>
      <c r="W567" s="11"/>
      <c r="X567" s="11"/>
      <c r="Y567" s="11"/>
      <c r="Z567" s="11"/>
      <c r="AA567" s="11" t="str">
        <f>IF($AW567="","",IF(INDEX(教室申込!$J$1:$J$212,$AW567)="","",INDEX(教室申込!$J$1:$J$212,$AW567)))</f>
        <v/>
      </c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" t="str">
        <f>IF(AND(ROW()-1&lt;=教室申込!$K$5,教室申込!$K$7=0,COUNTA(教室申込!$C$4)=1),INDEX(展開用!$B$2:$B$601,MATCH(ROW()-1,展開用!$E$2:$E$601,0)),"")</f>
        <v/>
      </c>
      <c r="AX567" s="1"/>
      <c r="AY567" s="1"/>
    </row>
    <row r="568" spans="1:51" ht="24" customHeight="1">
      <c r="A568" s="11"/>
      <c r="B568" s="11"/>
      <c r="C568" s="11"/>
      <c r="D568" s="11"/>
      <c r="E568" s="11"/>
      <c r="F568" s="11"/>
      <c r="G568" s="11"/>
      <c r="H568" s="11" t="str">
        <f>IF(AND(ROW()-1&lt;=教室申込!$K$5,教室申込!$K$7=0,COUNTA(教室申込!$C$4)=1),INDEX(展開用!$C$2:$C$601,MATCH(ROW()-1,展開用!$E$2:$E$601,0)),"")</f>
        <v/>
      </c>
      <c r="I568" s="11" t="str">
        <f>IF(AND(ROW()-1&lt;=教室申込!$K$5,教室申込!$K$7=0,COUNTA(教室申込!$C$4)=1),INDEX(展開用!$D$2:$D$601,MATCH(ROW()-1,展開用!$E$2:$E$601,0)),"")</f>
        <v/>
      </c>
      <c r="J568" s="11"/>
      <c r="K568" s="11"/>
      <c r="L568" s="11" t="str">
        <f>IF(AND(ROW()-1&lt;=教室申込!$K$5,教室申込!$K$7=0,COUNTA(教室申込!$C$4)=1),INDEX(教室申込!$B$1:$B$212,$AW568),"")</f>
        <v/>
      </c>
      <c r="M568" s="11" t="str">
        <f>IF(AND(ROW()-1&lt;=教室申込!$K$5,教室申込!$K$7=0,COUNTA(教室申込!$C$4)=1),INDEX(教室申込!$C$1:$C$212,$AW568),"")</f>
        <v/>
      </c>
      <c r="N568" s="11"/>
      <c r="O568" s="12" t="str">
        <f>IF(AND(ROW()-1&lt;=教室申込!$K$5,教室申込!$K$7=0,COUNTA(教室申込!$C$4)=1),INDEX(展開用!$G$2:$G$601,MATCH(ROW()-1,展開用!$E$2:$E$601,0)),"")</f>
        <v/>
      </c>
      <c r="P568" s="11"/>
      <c r="Q568" s="11"/>
      <c r="R568" s="11"/>
      <c r="S568" s="11"/>
      <c r="T568" s="11"/>
      <c r="U568" s="11" t="str">
        <f>IF(AND(ROW()-1&lt;=教室申込!$K$5,教室申込!$K$7=0,COUNTA(教室申込!$C$4)=1),INDEX(展開用!$F$2:$F$601,MATCH(ROW()-1,展開用!$E$2:$E$601,0)),"")</f>
        <v/>
      </c>
      <c r="V568" s="11"/>
      <c r="W568" s="11"/>
      <c r="X568" s="11"/>
      <c r="Y568" s="11"/>
      <c r="Z568" s="11"/>
      <c r="AA568" s="11" t="str">
        <f>IF($AW568="","",IF(INDEX(教室申込!$J$1:$J$212,$AW568)="","",INDEX(教室申込!$J$1:$J$212,$AW568)))</f>
        <v/>
      </c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" t="str">
        <f>IF(AND(ROW()-1&lt;=教室申込!$K$5,教室申込!$K$7=0,COUNTA(教室申込!$C$4)=1),INDEX(展開用!$B$2:$B$601,MATCH(ROW()-1,展開用!$E$2:$E$601,0)),"")</f>
        <v/>
      </c>
      <c r="AX568" s="1"/>
      <c r="AY568" s="1"/>
    </row>
    <row r="569" spans="1:51" ht="24" customHeight="1">
      <c r="A569" s="11"/>
      <c r="B569" s="11"/>
      <c r="C569" s="11"/>
      <c r="D569" s="11"/>
      <c r="E569" s="11"/>
      <c r="F569" s="11"/>
      <c r="G569" s="11"/>
      <c r="H569" s="11" t="str">
        <f>IF(AND(ROW()-1&lt;=教室申込!$K$5,教室申込!$K$7=0,COUNTA(教室申込!$C$4)=1),INDEX(展開用!$C$2:$C$601,MATCH(ROW()-1,展開用!$E$2:$E$601,0)),"")</f>
        <v/>
      </c>
      <c r="I569" s="11" t="str">
        <f>IF(AND(ROW()-1&lt;=教室申込!$K$5,教室申込!$K$7=0,COUNTA(教室申込!$C$4)=1),INDEX(展開用!$D$2:$D$601,MATCH(ROW()-1,展開用!$E$2:$E$601,0)),"")</f>
        <v/>
      </c>
      <c r="J569" s="11"/>
      <c r="K569" s="11"/>
      <c r="L569" s="11" t="str">
        <f>IF(AND(ROW()-1&lt;=教室申込!$K$5,教室申込!$K$7=0,COUNTA(教室申込!$C$4)=1),INDEX(教室申込!$B$1:$B$212,$AW569),"")</f>
        <v/>
      </c>
      <c r="M569" s="11" t="str">
        <f>IF(AND(ROW()-1&lt;=教室申込!$K$5,教室申込!$K$7=0,COUNTA(教室申込!$C$4)=1),INDEX(教室申込!$C$1:$C$212,$AW569),"")</f>
        <v/>
      </c>
      <c r="N569" s="11"/>
      <c r="O569" s="12" t="str">
        <f>IF(AND(ROW()-1&lt;=教室申込!$K$5,教室申込!$K$7=0,COUNTA(教室申込!$C$4)=1),INDEX(展開用!$G$2:$G$601,MATCH(ROW()-1,展開用!$E$2:$E$601,0)),"")</f>
        <v/>
      </c>
      <c r="P569" s="11"/>
      <c r="Q569" s="11"/>
      <c r="R569" s="11"/>
      <c r="S569" s="11"/>
      <c r="T569" s="11"/>
      <c r="U569" s="11" t="str">
        <f>IF(AND(ROW()-1&lt;=教室申込!$K$5,教室申込!$K$7=0,COUNTA(教室申込!$C$4)=1),INDEX(展開用!$F$2:$F$601,MATCH(ROW()-1,展開用!$E$2:$E$601,0)),"")</f>
        <v/>
      </c>
      <c r="V569" s="11"/>
      <c r="W569" s="11"/>
      <c r="X569" s="11"/>
      <c r="Y569" s="11"/>
      <c r="Z569" s="11"/>
      <c r="AA569" s="11" t="str">
        <f>IF($AW569="","",IF(INDEX(教室申込!$J$1:$J$212,$AW569)="","",INDEX(教室申込!$J$1:$J$212,$AW569)))</f>
        <v/>
      </c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" t="str">
        <f>IF(AND(ROW()-1&lt;=教室申込!$K$5,教室申込!$K$7=0,COUNTA(教室申込!$C$4)=1),INDEX(展開用!$B$2:$B$601,MATCH(ROW()-1,展開用!$E$2:$E$601,0)),"")</f>
        <v/>
      </c>
      <c r="AX569" s="1"/>
      <c r="AY569" s="1"/>
    </row>
    <row r="570" spans="1:51" ht="24" customHeight="1">
      <c r="A570" s="11"/>
      <c r="B570" s="11"/>
      <c r="C570" s="11"/>
      <c r="D570" s="11"/>
      <c r="E570" s="11"/>
      <c r="F570" s="11"/>
      <c r="G570" s="11"/>
      <c r="H570" s="11" t="str">
        <f>IF(AND(ROW()-1&lt;=教室申込!$K$5,教室申込!$K$7=0,COUNTA(教室申込!$C$4)=1),INDEX(展開用!$C$2:$C$601,MATCH(ROW()-1,展開用!$E$2:$E$601,0)),"")</f>
        <v/>
      </c>
      <c r="I570" s="11" t="str">
        <f>IF(AND(ROW()-1&lt;=教室申込!$K$5,教室申込!$K$7=0,COUNTA(教室申込!$C$4)=1),INDEX(展開用!$D$2:$D$601,MATCH(ROW()-1,展開用!$E$2:$E$601,0)),"")</f>
        <v/>
      </c>
      <c r="J570" s="11"/>
      <c r="K570" s="11"/>
      <c r="L570" s="11" t="str">
        <f>IF(AND(ROW()-1&lt;=教室申込!$K$5,教室申込!$K$7=0,COUNTA(教室申込!$C$4)=1),INDEX(教室申込!$B$1:$B$212,$AW570),"")</f>
        <v/>
      </c>
      <c r="M570" s="11" t="str">
        <f>IF(AND(ROW()-1&lt;=教室申込!$K$5,教室申込!$K$7=0,COUNTA(教室申込!$C$4)=1),INDEX(教室申込!$C$1:$C$212,$AW570),"")</f>
        <v/>
      </c>
      <c r="N570" s="11"/>
      <c r="O570" s="12" t="str">
        <f>IF(AND(ROW()-1&lt;=教室申込!$K$5,教室申込!$K$7=0,COUNTA(教室申込!$C$4)=1),INDEX(展開用!$G$2:$G$601,MATCH(ROW()-1,展開用!$E$2:$E$601,0)),"")</f>
        <v/>
      </c>
      <c r="P570" s="11"/>
      <c r="Q570" s="11"/>
      <c r="R570" s="11"/>
      <c r="S570" s="11"/>
      <c r="T570" s="11"/>
      <c r="U570" s="11" t="str">
        <f>IF(AND(ROW()-1&lt;=教室申込!$K$5,教室申込!$K$7=0,COUNTA(教室申込!$C$4)=1),INDEX(展開用!$F$2:$F$601,MATCH(ROW()-1,展開用!$E$2:$E$601,0)),"")</f>
        <v/>
      </c>
      <c r="V570" s="11"/>
      <c r="W570" s="11"/>
      <c r="X570" s="11"/>
      <c r="Y570" s="11"/>
      <c r="Z570" s="11"/>
      <c r="AA570" s="11" t="str">
        <f>IF($AW570="","",IF(INDEX(教室申込!$J$1:$J$212,$AW570)="","",INDEX(教室申込!$J$1:$J$212,$AW570)))</f>
        <v/>
      </c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" t="str">
        <f>IF(AND(ROW()-1&lt;=教室申込!$K$5,教室申込!$K$7=0,COUNTA(教室申込!$C$4)=1),INDEX(展開用!$B$2:$B$601,MATCH(ROW()-1,展開用!$E$2:$E$601,0)),"")</f>
        <v/>
      </c>
      <c r="AX570" s="1"/>
      <c r="AY570" s="1"/>
    </row>
    <row r="571" spans="1:51" ht="24" customHeight="1">
      <c r="A571" s="11"/>
      <c r="B571" s="11"/>
      <c r="C571" s="11"/>
      <c r="D571" s="11"/>
      <c r="E571" s="11"/>
      <c r="F571" s="11"/>
      <c r="G571" s="11"/>
      <c r="H571" s="11" t="str">
        <f>IF(AND(ROW()-1&lt;=教室申込!$K$5,教室申込!$K$7=0,COUNTA(教室申込!$C$4)=1),INDEX(展開用!$C$2:$C$601,MATCH(ROW()-1,展開用!$E$2:$E$601,0)),"")</f>
        <v/>
      </c>
      <c r="I571" s="11" t="str">
        <f>IF(AND(ROW()-1&lt;=教室申込!$K$5,教室申込!$K$7=0,COUNTA(教室申込!$C$4)=1),INDEX(展開用!$D$2:$D$601,MATCH(ROW()-1,展開用!$E$2:$E$601,0)),"")</f>
        <v/>
      </c>
      <c r="J571" s="11"/>
      <c r="K571" s="11"/>
      <c r="L571" s="11" t="str">
        <f>IF(AND(ROW()-1&lt;=教室申込!$K$5,教室申込!$K$7=0,COUNTA(教室申込!$C$4)=1),INDEX(教室申込!$B$1:$B$212,$AW571),"")</f>
        <v/>
      </c>
      <c r="M571" s="11" t="str">
        <f>IF(AND(ROW()-1&lt;=教室申込!$K$5,教室申込!$K$7=0,COUNTA(教室申込!$C$4)=1),INDEX(教室申込!$C$1:$C$212,$AW571),"")</f>
        <v/>
      </c>
      <c r="N571" s="11"/>
      <c r="O571" s="12" t="str">
        <f>IF(AND(ROW()-1&lt;=教室申込!$K$5,教室申込!$K$7=0,COUNTA(教室申込!$C$4)=1),INDEX(展開用!$G$2:$G$601,MATCH(ROW()-1,展開用!$E$2:$E$601,0)),"")</f>
        <v/>
      </c>
      <c r="P571" s="11"/>
      <c r="Q571" s="11"/>
      <c r="R571" s="11"/>
      <c r="S571" s="11"/>
      <c r="T571" s="11"/>
      <c r="U571" s="11" t="str">
        <f>IF(AND(ROW()-1&lt;=教室申込!$K$5,教室申込!$K$7=0,COUNTA(教室申込!$C$4)=1),INDEX(展開用!$F$2:$F$601,MATCH(ROW()-1,展開用!$E$2:$E$601,0)),"")</f>
        <v/>
      </c>
      <c r="V571" s="11"/>
      <c r="W571" s="11"/>
      <c r="X571" s="11"/>
      <c r="Y571" s="11"/>
      <c r="Z571" s="11"/>
      <c r="AA571" s="11" t="str">
        <f>IF($AW571="","",IF(INDEX(教室申込!$J$1:$J$212,$AW571)="","",INDEX(教室申込!$J$1:$J$212,$AW571)))</f>
        <v/>
      </c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" t="str">
        <f>IF(AND(ROW()-1&lt;=教室申込!$K$5,教室申込!$K$7=0,COUNTA(教室申込!$C$4)=1),INDEX(展開用!$B$2:$B$601,MATCH(ROW()-1,展開用!$E$2:$E$601,0)),"")</f>
        <v/>
      </c>
      <c r="AX571" s="1"/>
      <c r="AY571" s="1"/>
    </row>
    <row r="572" spans="1:51" ht="24" customHeight="1">
      <c r="A572" s="11"/>
      <c r="B572" s="11"/>
      <c r="C572" s="11"/>
      <c r="D572" s="11"/>
      <c r="E572" s="11"/>
      <c r="F572" s="11"/>
      <c r="G572" s="11"/>
      <c r="H572" s="11" t="str">
        <f>IF(AND(ROW()-1&lt;=教室申込!$K$5,教室申込!$K$7=0,COUNTA(教室申込!$C$4)=1),INDEX(展開用!$C$2:$C$601,MATCH(ROW()-1,展開用!$E$2:$E$601,0)),"")</f>
        <v/>
      </c>
      <c r="I572" s="11" t="str">
        <f>IF(AND(ROW()-1&lt;=教室申込!$K$5,教室申込!$K$7=0,COUNTA(教室申込!$C$4)=1),INDEX(展開用!$D$2:$D$601,MATCH(ROW()-1,展開用!$E$2:$E$601,0)),"")</f>
        <v/>
      </c>
      <c r="J572" s="11"/>
      <c r="K572" s="11"/>
      <c r="L572" s="11" t="str">
        <f>IF(AND(ROW()-1&lt;=教室申込!$K$5,教室申込!$K$7=0,COUNTA(教室申込!$C$4)=1),INDEX(教室申込!$B$1:$B$212,$AW572),"")</f>
        <v/>
      </c>
      <c r="M572" s="11" t="str">
        <f>IF(AND(ROW()-1&lt;=教室申込!$K$5,教室申込!$K$7=0,COUNTA(教室申込!$C$4)=1),INDEX(教室申込!$C$1:$C$212,$AW572),"")</f>
        <v/>
      </c>
      <c r="N572" s="11"/>
      <c r="O572" s="12" t="str">
        <f>IF(AND(ROW()-1&lt;=教室申込!$K$5,教室申込!$K$7=0,COUNTA(教室申込!$C$4)=1),INDEX(展開用!$G$2:$G$601,MATCH(ROW()-1,展開用!$E$2:$E$601,0)),"")</f>
        <v/>
      </c>
      <c r="P572" s="11"/>
      <c r="Q572" s="11"/>
      <c r="R572" s="11"/>
      <c r="S572" s="11"/>
      <c r="T572" s="11"/>
      <c r="U572" s="11" t="str">
        <f>IF(AND(ROW()-1&lt;=教室申込!$K$5,教室申込!$K$7=0,COUNTA(教室申込!$C$4)=1),INDEX(展開用!$F$2:$F$601,MATCH(ROW()-1,展開用!$E$2:$E$601,0)),"")</f>
        <v/>
      </c>
      <c r="V572" s="11"/>
      <c r="W572" s="11"/>
      <c r="X572" s="11"/>
      <c r="Y572" s="11"/>
      <c r="Z572" s="11"/>
      <c r="AA572" s="11" t="str">
        <f>IF($AW572="","",IF(INDEX(教室申込!$J$1:$J$212,$AW572)="","",INDEX(教室申込!$J$1:$J$212,$AW572)))</f>
        <v/>
      </c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" t="str">
        <f>IF(AND(ROW()-1&lt;=教室申込!$K$5,教室申込!$K$7=0,COUNTA(教室申込!$C$4)=1),INDEX(展開用!$B$2:$B$601,MATCH(ROW()-1,展開用!$E$2:$E$601,0)),"")</f>
        <v/>
      </c>
      <c r="AX572" s="1"/>
      <c r="AY572" s="1"/>
    </row>
    <row r="573" spans="1:51" ht="24" customHeight="1">
      <c r="A573" s="11"/>
      <c r="B573" s="11"/>
      <c r="C573" s="11"/>
      <c r="D573" s="11"/>
      <c r="E573" s="11"/>
      <c r="F573" s="11"/>
      <c r="G573" s="11"/>
      <c r="H573" s="11" t="str">
        <f>IF(AND(ROW()-1&lt;=教室申込!$K$5,教室申込!$K$7=0,COUNTA(教室申込!$C$4)=1),INDEX(展開用!$C$2:$C$601,MATCH(ROW()-1,展開用!$E$2:$E$601,0)),"")</f>
        <v/>
      </c>
      <c r="I573" s="11" t="str">
        <f>IF(AND(ROW()-1&lt;=教室申込!$K$5,教室申込!$K$7=0,COUNTA(教室申込!$C$4)=1),INDEX(展開用!$D$2:$D$601,MATCH(ROW()-1,展開用!$E$2:$E$601,0)),"")</f>
        <v/>
      </c>
      <c r="J573" s="11"/>
      <c r="K573" s="11"/>
      <c r="L573" s="11" t="str">
        <f>IF(AND(ROW()-1&lt;=教室申込!$K$5,教室申込!$K$7=0,COUNTA(教室申込!$C$4)=1),INDEX(教室申込!$B$1:$B$212,$AW573),"")</f>
        <v/>
      </c>
      <c r="M573" s="11" t="str">
        <f>IF(AND(ROW()-1&lt;=教室申込!$K$5,教室申込!$K$7=0,COUNTA(教室申込!$C$4)=1),INDEX(教室申込!$C$1:$C$212,$AW573),"")</f>
        <v/>
      </c>
      <c r="N573" s="11"/>
      <c r="O573" s="12" t="str">
        <f>IF(AND(ROW()-1&lt;=教室申込!$K$5,教室申込!$K$7=0,COUNTA(教室申込!$C$4)=1),INDEX(展開用!$G$2:$G$601,MATCH(ROW()-1,展開用!$E$2:$E$601,0)),"")</f>
        <v/>
      </c>
      <c r="P573" s="11"/>
      <c r="Q573" s="11"/>
      <c r="R573" s="11"/>
      <c r="S573" s="11"/>
      <c r="T573" s="11"/>
      <c r="U573" s="11" t="str">
        <f>IF(AND(ROW()-1&lt;=教室申込!$K$5,教室申込!$K$7=0,COUNTA(教室申込!$C$4)=1),INDEX(展開用!$F$2:$F$601,MATCH(ROW()-1,展開用!$E$2:$E$601,0)),"")</f>
        <v/>
      </c>
      <c r="V573" s="11"/>
      <c r="W573" s="11"/>
      <c r="X573" s="11"/>
      <c r="Y573" s="11"/>
      <c r="Z573" s="11"/>
      <c r="AA573" s="11" t="str">
        <f>IF($AW573="","",IF(INDEX(教室申込!$J$1:$J$212,$AW573)="","",INDEX(教室申込!$J$1:$J$212,$AW573)))</f>
        <v/>
      </c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" t="str">
        <f>IF(AND(ROW()-1&lt;=教室申込!$K$5,教室申込!$K$7=0,COUNTA(教室申込!$C$4)=1),INDEX(展開用!$B$2:$B$601,MATCH(ROW()-1,展開用!$E$2:$E$601,0)),"")</f>
        <v/>
      </c>
      <c r="AX573" s="1"/>
      <c r="AY573" s="1"/>
    </row>
    <row r="574" spans="1:51" ht="24" customHeight="1">
      <c r="A574" s="11"/>
      <c r="B574" s="11"/>
      <c r="C574" s="11"/>
      <c r="D574" s="11"/>
      <c r="E574" s="11"/>
      <c r="F574" s="11"/>
      <c r="G574" s="11"/>
      <c r="H574" s="11" t="str">
        <f>IF(AND(ROW()-1&lt;=教室申込!$K$5,教室申込!$K$7=0,COUNTA(教室申込!$C$4)=1),INDEX(展開用!$C$2:$C$601,MATCH(ROW()-1,展開用!$E$2:$E$601,0)),"")</f>
        <v/>
      </c>
      <c r="I574" s="11" t="str">
        <f>IF(AND(ROW()-1&lt;=教室申込!$K$5,教室申込!$K$7=0,COUNTA(教室申込!$C$4)=1),INDEX(展開用!$D$2:$D$601,MATCH(ROW()-1,展開用!$E$2:$E$601,0)),"")</f>
        <v/>
      </c>
      <c r="J574" s="11"/>
      <c r="K574" s="11"/>
      <c r="L574" s="11" t="str">
        <f>IF(AND(ROW()-1&lt;=教室申込!$K$5,教室申込!$K$7=0,COUNTA(教室申込!$C$4)=1),INDEX(教室申込!$B$1:$B$212,$AW574),"")</f>
        <v/>
      </c>
      <c r="M574" s="11" t="str">
        <f>IF(AND(ROW()-1&lt;=教室申込!$K$5,教室申込!$K$7=0,COUNTA(教室申込!$C$4)=1),INDEX(教室申込!$C$1:$C$212,$AW574),"")</f>
        <v/>
      </c>
      <c r="N574" s="11"/>
      <c r="O574" s="12" t="str">
        <f>IF(AND(ROW()-1&lt;=教室申込!$K$5,教室申込!$K$7=0,COUNTA(教室申込!$C$4)=1),INDEX(展開用!$G$2:$G$601,MATCH(ROW()-1,展開用!$E$2:$E$601,0)),"")</f>
        <v/>
      </c>
      <c r="P574" s="11"/>
      <c r="Q574" s="11"/>
      <c r="R574" s="11"/>
      <c r="S574" s="11"/>
      <c r="T574" s="11"/>
      <c r="U574" s="11" t="str">
        <f>IF(AND(ROW()-1&lt;=教室申込!$K$5,教室申込!$K$7=0,COUNTA(教室申込!$C$4)=1),INDEX(展開用!$F$2:$F$601,MATCH(ROW()-1,展開用!$E$2:$E$601,0)),"")</f>
        <v/>
      </c>
      <c r="V574" s="11"/>
      <c r="W574" s="11"/>
      <c r="X574" s="11"/>
      <c r="Y574" s="11"/>
      <c r="Z574" s="11"/>
      <c r="AA574" s="11" t="str">
        <f>IF($AW574="","",IF(INDEX(教室申込!$J$1:$J$212,$AW574)="","",INDEX(教室申込!$J$1:$J$212,$AW574)))</f>
        <v/>
      </c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" t="str">
        <f>IF(AND(ROW()-1&lt;=教室申込!$K$5,教室申込!$K$7=0,COUNTA(教室申込!$C$4)=1),INDEX(展開用!$B$2:$B$601,MATCH(ROW()-1,展開用!$E$2:$E$601,0)),"")</f>
        <v/>
      </c>
      <c r="AX574" s="1"/>
      <c r="AY574" s="1"/>
    </row>
    <row r="575" spans="1:51" ht="24" customHeight="1">
      <c r="A575" s="11"/>
      <c r="B575" s="11"/>
      <c r="C575" s="11"/>
      <c r="D575" s="11"/>
      <c r="E575" s="11"/>
      <c r="F575" s="11"/>
      <c r="G575" s="11"/>
      <c r="H575" s="11" t="str">
        <f>IF(AND(ROW()-1&lt;=教室申込!$K$5,教室申込!$K$7=0,COUNTA(教室申込!$C$4)=1),INDEX(展開用!$C$2:$C$601,MATCH(ROW()-1,展開用!$E$2:$E$601,0)),"")</f>
        <v/>
      </c>
      <c r="I575" s="11" t="str">
        <f>IF(AND(ROW()-1&lt;=教室申込!$K$5,教室申込!$K$7=0,COUNTA(教室申込!$C$4)=1),INDEX(展開用!$D$2:$D$601,MATCH(ROW()-1,展開用!$E$2:$E$601,0)),"")</f>
        <v/>
      </c>
      <c r="J575" s="11"/>
      <c r="K575" s="11"/>
      <c r="L575" s="11" t="str">
        <f>IF(AND(ROW()-1&lt;=教室申込!$K$5,教室申込!$K$7=0,COUNTA(教室申込!$C$4)=1),INDEX(教室申込!$B$1:$B$212,$AW575),"")</f>
        <v/>
      </c>
      <c r="M575" s="11" t="str">
        <f>IF(AND(ROW()-1&lt;=教室申込!$K$5,教室申込!$K$7=0,COUNTA(教室申込!$C$4)=1),INDEX(教室申込!$C$1:$C$212,$AW575),"")</f>
        <v/>
      </c>
      <c r="N575" s="11"/>
      <c r="O575" s="12" t="str">
        <f>IF(AND(ROW()-1&lt;=教室申込!$K$5,教室申込!$K$7=0,COUNTA(教室申込!$C$4)=1),INDEX(展開用!$G$2:$G$601,MATCH(ROW()-1,展開用!$E$2:$E$601,0)),"")</f>
        <v/>
      </c>
      <c r="P575" s="11"/>
      <c r="Q575" s="11"/>
      <c r="R575" s="11"/>
      <c r="S575" s="11"/>
      <c r="T575" s="11"/>
      <c r="U575" s="11" t="str">
        <f>IF(AND(ROW()-1&lt;=教室申込!$K$5,教室申込!$K$7=0,COUNTA(教室申込!$C$4)=1),INDEX(展開用!$F$2:$F$601,MATCH(ROW()-1,展開用!$E$2:$E$601,0)),"")</f>
        <v/>
      </c>
      <c r="V575" s="11"/>
      <c r="W575" s="11"/>
      <c r="X575" s="11"/>
      <c r="Y575" s="11"/>
      <c r="Z575" s="11"/>
      <c r="AA575" s="11" t="str">
        <f>IF($AW575="","",IF(INDEX(教室申込!$J$1:$J$212,$AW575)="","",INDEX(教室申込!$J$1:$J$212,$AW575)))</f>
        <v/>
      </c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" t="str">
        <f>IF(AND(ROW()-1&lt;=教室申込!$K$5,教室申込!$K$7=0,COUNTA(教室申込!$C$4)=1),INDEX(展開用!$B$2:$B$601,MATCH(ROW()-1,展開用!$E$2:$E$601,0)),"")</f>
        <v/>
      </c>
      <c r="AX575" s="1"/>
      <c r="AY575" s="1"/>
    </row>
    <row r="576" spans="1:51" ht="24" customHeight="1">
      <c r="A576" s="11"/>
      <c r="B576" s="11"/>
      <c r="C576" s="11"/>
      <c r="D576" s="11"/>
      <c r="E576" s="11"/>
      <c r="F576" s="11"/>
      <c r="G576" s="11"/>
      <c r="H576" s="11" t="str">
        <f>IF(AND(ROW()-1&lt;=教室申込!$K$5,教室申込!$K$7=0,COUNTA(教室申込!$C$4)=1),INDEX(展開用!$C$2:$C$601,MATCH(ROW()-1,展開用!$E$2:$E$601,0)),"")</f>
        <v/>
      </c>
      <c r="I576" s="11" t="str">
        <f>IF(AND(ROW()-1&lt;=教室申込!$K$5,教室申込!$K$7=0,COUNTA(教室申込!$C$4)=1),INDEX(展開用!$D$2:$D$601,MATCH(ROW()-1,展開用!$E$2:$E$601,0)),"")</f>
        <v/>
      </c>
      <c r="J576" s="11"/>
      <c r="K576" s="11"/>
      <c r="L576" s="11" t="str">
        <f>IF(AND(ROW()-1&lt;=教室申込!$K$5,教室申込!$K$7=0,COUNTA(教室申込!$C$4)=1),INDEX(教室申込!$B$1:$B$212,$AW576),"")</f>
        <v/>
      </c>
      <c r="M576" s="11" t="str">
        <f>IF(AND(ROW()-1&lt;=教室申込!$K$5,教室申込!$K$7=0,COUNTA(教室申込!$C$4)=1),INDEX(教室申込!$C$1:$C$212,$AW576),"")</f>
        <v/>
      </c>
      <c r="N576" s="11"/>
      <c r="O576" s="12" t="str">
        <f>IF(AND(ROW()-1&lt;=教室申込!$K$5,教室申込!$K$7=0,COUNTA(教室申込!$C$4)=1),INDEX(展開用!$G$2:$G$601,MATCH(ROW()-1,展開用!$E$2:$E$601,0)),"")</f>
        <v/>
      </c>
      <c r="P576" s="11"/>
      <c r="Q576" s="11"/>
      <c r="R576" s="11"/>
      <c r="S576" s="11"/>
      <c r="T576" s="11"/>
      <c r="U576" s="11" t="str">
        <f>IF(AND(ROW()-1&lt;=教室申込!$K$5,教室申込!$K$7=0,COUNTA(教室申込!$C$4)=1),INDEX(展開用!$F$2:$F$601,MATCH(ROW()-1,展開用!$E$2:$E$601,0)),"")</f>
        <v/>
      </c>
      <c r="V576" s="11"/>
      <c r="W576" s="11"/>
      <c r="X576" s="11"/>
      <c r="Y576" s="11"/>
      <c r="Z576" s="11"/>
      <c r="AA576" s="11" t="str">
        <f>IF($AW576="","",IF(INDEX(教室申込!$J$1:$J$212,$AW576)="","",INDEX(教室申込!$J$1:$J$212,$AW576)))</f>
        <v/>
      </c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" t="str">
        <f>IF(AND(ROW()-1&lt;=教室申込!$K$5,教室申込!$K$7=0,COUNTA(教室申込!$C$4)=1),INDEX(展開用!$B$2:$B$601,MATCH(ROW()-1,展開用!$E$2:$E$601,0)),"")</f>
        <v/>
      </c>
      <c r="AX576" s="1"/>
      <c r="AY576" s="1"/>
    </row>
    <row r="577" spans="1:51" ht="24" customHeight="1">
      <c r="A577" s="11"/>
      <c r="B577" s="11"/>
      <c r="C577" s="11"/>
      <c r="D577" s="11"/>
      <c r="E577" s="11"/>
      <c r="F577" s="11"/>
      <c r="G577" s="11"/>
      <c r="H577" s="11" t="str">
        <f>IF(AND(ROW()-1&lt;=教室申込!$K$5,教室申込!$K$7=0,COUNTA(教室申込!$C$4)=1),INDEX(展開用!$C$2:$C$601,MATCH(ROW()-1,展開用!$E$2:$E$601,0)),"")</f>
        <v/>
      </c>
      <c r="I577" s="11" t="str">
        <f>IF(AND(ROW()-1&lt;=教室申込!$K$5,教室申込!$K$7=0,COUNTA(教室申込!$C$4)=1),INDEX(展開用!$D$2:$D$601,MATCH(ROW()-1,展開用!$E$2:$E$601,0)),"")</f>
        <v/>
      </c>
      <c r="J577" s="11"/>
      <c r="K577" s="11"/>
      <c r="L577" s="11" t="str">
        <f>IF(AND(ROW()-1&lt;=教室申込!$K$5,教室申込!$K$7=0,COUNTA(教室申込!$C$4)=1),INDEX(教室申込!$B$1:$B$212,$AW577),"")</f>
        <v/>
      </c>
      <c r="M577" s="11" t="str">
        <f>IF(AND(ROW()-1&lt;=教室申込!$K$5,教室申込!$K$7=0,COUNTA(教室申込!$C$4)=1),INDEX(教室申込!$C$1:$C$212,$AW577),"")</f>
        <v/>
      </c>
      <c r="N577" s="11"/>
      <c r="O577" s="12" t="str">
        <f>IF(AND(ROW()-1&lt;=教室申込!$K$5,教室申込!$K$7=0,COUNTA(教室申込!$C$4)=1),INDEX(展開用!$G$2:$G$601,MATCH(ROW()-1,展開用!$E$2:$E$601,0)),"")</f>
        <v/>
      </c>
      <c r="P577" s="11"/>
      <c r="Q577" s="11"/>
      <c r="R577" s="11"/>
      <c r="S577" s="11"/>
      <c r="T577" s="11"/>
      <c r="U577" s="11" t="str">
        <f>IF(AND(ROW()-1&lt;=教室申込!$K$5,教室申込!$K$7=0,COUNTA(教室申込!$C$4)=1),INDEX(展開用!$F$2:$F$601,MATCH(ROW()-1,展開用!$E$2:$E$601,0)),"")</f>
        <v/>
      </c>
      <c r="V577" s="11"/>
      <c r="W577" s="11"/>
      <c r="X577" s="11"/>
      <c r="Y577" s="11"/>
      <c r="Z577" s="11"/>
      <c r="AA577" s="11" t="str">
        <f>IF($AW577="","",IF(INDEX(教室申込!$J$1:$J$212,$AW577)="","",INDEX(教室申込!$J$1:$J$212,$AW577)))</f>
        <v/>
      </c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" t="str">
        <f>IF(AND(ROW()-1&lt;=教室申込!$K$5,教室申込!$K$7=0,COUNTA(教室申込!$C$4)=1),INDEX(展開用!$B$2:$B$601,MATCH(ROW()-1,展開用!$E$2:$E$601,0)),"")</f>
        <v/>
      </c>
      <c r="AX577" s="1"/>
      <c r="AY577" s="1"/>
    </row>
    <row r="578" spans="1:51" ht="24" customHeight="1">
      <c r="A578" s="11"/>
      <c r="B578" s="11"/>
      <c r="C578" s="11"/>
      <c r="D578" s="11"/>
      <c r="E578" s="11"/>
      <c r="F578" s="11"/>
      <c r="G578" s="11"/>
      <c r="H578" s="11" t="str">
        <f>IF(AND(ROW()-1&lt;=教室申込!$K$5,教室申込!$K$7=0,COUNTA(教室申込!$C$4)=1),INDEX(展開用!$C$2:$C$601,MATCH(ROW()-1,展開用!$E$2:$E$601,0)),"")</f>
        <v/>
      </c>
      <c r="I578" s="11" t="str">
        <f>IF(AND(ROW()-1&lt;=教室申込!$K$5,教室申込!$K$7=0,COUNTA(教室申込!$C$4)=1),INDEX(展開用!$D$2:$D$601,MATCH(ROW()-1,展開用!$E$2:$E$601,0)),"")</f>
        <v/>
      </c>
      <c r="J578" s="11"/>
      <c r="K578" s="11"/>
      <c r="L578" s="11" t="str">
        <f>IF(AND(ROW()-1&lt;=教室申込!$K$5,教室申込!$K$7=0,COUNTA(教室申込!$C$4)=1),INDEX(教室申込!$B$1:$B$212,$AW578),"")</f>
        <v/>
      </c>
      <c r="M578" s="11" t="str">
        <f>IF(AND(ROW()-1&lt;=教室申込!$K$5,教室申込!$K$7=0,COUNTA(教室申込!$C$4)=1),INDEX(教室申込!$C$1:$C$212,$AW578),"")</f>
        <v/>
      </c>
      <c r="N578" s="11"/>
      <c r="O578" s="12" t="str">
        <f>IF(AND(ROW()-1&lt;=教室申込!$K$5,教室申込!$K$7=0,COUNTA(教室申込!$C$4)=1),INDEX(展開用!$G$2:$G$601,MATCH(ROW()-1,展開用!$E$2:$E$601,0)),"")</f>
        <v/>
      </c>
      <c r="P578" s="11"/>
      <c r="Q578" s="11"/>
      <c r="R578" s="11"/>
      <c r="S578" s="11"/>
      <c r="T578" s="11"/>
      <c r="U578" s="11" t="str">
        <f>IF(AND(ROW()-1&lt;=教室申込!$K$5,教室申込!$K$7=0,COUNTA(教室申込!$C$4)=1),INDEX(展開用!$F$2:$F$601,MATCH(ROW()-1,展開用!$E$2:$E$601,0)),"")</f>
        <v/>
      </c>
      <c r="V578" s="11"/>
      <c r="W578" s="11"/>
      <c r="X578" s="11"/>
      <c r="Y578" s="11"/>
      <c r="Z578" s="11"/>
      <c r="AA578" s="11" t="str">
        <f>IF($AW578="","",IF(INDEX(教室申込!$J$1:$J$212,$AW578)="","",INDEX(教室申込!$J$1:$J$212,$AW578)))</f>
        <v/>
      </c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" t="str">
        <f>IF(AND(ROW()-1&lt;=教室申込!$K$5,教室申込!$K$7=0,COUNTA(教室申込!$C$4)=1),INDEX(展開用!$B$2:$B$601,MATCH(ROW()-1,展開用!$E$2:$E$601,0)),"")</f>
        <v/>
      </c>
      <c r="AX578" s="1"/>
      <c r="AY578" s="1"/>
    </row>
    <row r="579" spans="1:51" ht="24" customHeight="1">
      <c r="A579" s="11"/>
      <c r="B579" s="11"/>
      <c r="C579" s="11"/>
      <c r="D579" s="11"/>
      <c r="E579" s="11"/>
      <c r="F579" s="11"/>
      <c r="G579" s="11"/>
      <c r="H579" s="11" t="str">
        <f>IF(AND(ROW()-1&lt;=教室申込!$K$5,教室申込!$K$7=0,COUNTA(教室申込!$C$4)=1),INDEX(展開用!$C$2:$C$601,MATCH(ROW()-1,展開用!$E$2:$E$601,0)),"")</f>
        <v/>
      </c>
      <c r="I579" s="11" t="str">
        <f>IF(AND(ROW()-1&lt;=教室申込!$K$5,教室申込!$K$7=0,COUNTA(教室申込!$C$4)=1),INDEX(展開用!$D$2:$D$601,MATCH(ROW()-1,展開用!$E$2:$E$601,0)),"")</f>
        <v/>
      </c>
      <c r="J579" s="11"/>
      <c r="K579" s="11"/>
      <c r="L579" s="11" t="str">
        <f>IF(AND(ROW()-1&lt;=教室申込!$K$5,教室申込!$K$7=0,COUNTA(教室申込!$C$4)=1),INDEX(教室申込!$B$1:$B$212,$AW579),"")</f>
        <v/>
      </c>
      <c r="M579" s="11" t="str">
        <f>IF(AND(ROW()-1&lt;=教室申込!$K$5,教室申込!$K$7=0,COUNTA(教室申込!$C$4)=1),INDEX(教室申込!$C$1:$C$212,$AW579),"")</f>
        <v/>
      </c>
      <c r="N579" s="11"/>
      <c r="O579" s="12" t="str">
        <f>IF(AND(ROW()-1&lt;=教室申込!$K$5,教室申込!$K$7=0,COUNTA(教室申込!$C$4)=1),INDEX(展開用!$G$2:$G$601,MATCH(ROW()-1,展開用!$E$2:$E$601,0)),"")</f>
        <v/>
      </c>
      <c r="P579" s="11"/>
      <c r="Q579" s="11"/>
      <c r="R579" s="11"/>
      <c r="S579" s="11"/>
      <c r="T579" s="11"/>
      <c r="U579" s="11" t="str">
        <f>IF(AND(ROW()-1&lt;=教室申込!$K$5,教室申込!$K$7=0,COUNTA(教室申込!$C$4)=1),INDEX(展開用!$F$2:$F$601,MATCH(ROW()-1,展開用!$E$2:$E$601,0)),"")</f>
        <v/>
      </c>
      <c r="V579" s="11"/>
      <c r="W579" s="11"/>
      <c r="X579" s="11"/>
      <c r="Y579" s="11"/>
      <c r="Z579" s="11"/>
      <c r="AA579" s="11" t="str">
        <f>IF($AW579="","",IF(INDEX(教室申込!$J$1:$J$212,$AW579)="","",INDEX(教室申込!$J$1:$J$212,$AW579)))</f>
        <v/>
      </c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" t="str">
        <f>IF(AND(ROW()-1&lt;=教室申込!$K$5,教室申込!$K$7=0,COUNTA(教室申込!$C$4)=1),INDEX(展開用!$B$2:$B$601,MATCH(ROW()-1,展開用!$E$2:$E$601,0)),"")</f>
        <v/>
      </c>
      <c r="AX579" s="1"/>
      <c r="AY579" s="1"/>
    </row>
    <row r="580" spans="1:51" ht="24" customHeight="1">
      <c r="A580" s="11"/>
      <c r="B580" s="11"/>
      <c r="C580" s="11"/>
      <c r="D580" s="11"/>
      <c r="E580" s="11"/>
      <c r="F580" s="11"/>
      <c r="G580" s="11"/>
      <c r="H580" s="11" t="str">
        <f>IF(AND(ROW()-1&lt;=教室申込!$K$5,教室申込!$K$7=0,COUNTA(教室申込!$C$4)=1),INDEX(展開用!$C$2:$C$601,MATCH(ROW()-1,展開用!$E$2:$E$601,0)),"")</f>
        <v/>
      </c>
      <c r="I580" s="11" t="str">
        <f>IF(AND(ROW()-1&lt;=教室申込!$K$5,教室申込!$K$7=0,COUNTA(教室申込!$C$4)=1),INDEX(展開用!$D$2:$D$601,MATCH(ROW()-1,展開用!$E$2:$E$601,0)),"")</f>
        <v/>
      </c>
      <c r="J580" s="11"/>
      <c r="K580" s="11"/>
      <c r="L580" s="11" t="str">
        <f>IF(AND(ROW()-1&lt;=教室申込!$K$5,教室申込!$K$7=0,COUNTA(教室申込!$C$4)=1),INDEX(教室申込!$B$1:$B$212,$AW580),"")</f>
        <v/>
      </c>
      <c r="M580" s="11" t="str">
        <f>IF(AND(ROW()-1&lt;=教室申込!$K$5,教室申込!$K$7=0,COUNTA(教室申込!$C$4)=1),INDEX(教室申込!$C$1:$C$212,$AW580),"")</f>
        <v/>
      </c>
      <c r="N580" s="11"/>
      <c r="O580" s="12" t="str">
        <f>IF(AND(ROW()-1&lt;=教室申込!$K$5,教室申込!$K$7=0,COUNTA(教室申込!$C$4)=1),INDEX(展開用!$G$2:$G$601,MATCH(ROW()-1,展開用!$E$2:$E$601,0)),"")</f>
        <v/>
      </c>
      <c r="P580" s="11"/>
      <c r="Q580" s="11"/>
      <c r="R580" s="11"/>
      <c r="S580" s="11"/>
      <c r="T580" s="11"/>
      <c r="U580" s="11" t="str">
        <f>IF(AND(ROW()-1&lt;=教室申込!$K$5,教室申込!$K$7=0,COUNTA(教室申込!$C$4)=1),INDEX(展開用!$F$2:$F$601,MATCH(ROW()-1,展開用!$E$2:$E$601,0)),"")</f>
        <v/>
      </c>
      <c r="V580" s="11"/>
      <c r="W580" s="11"/>
      <c r="X580" s="11"/>
      <c r="Y580" s="11"/>
      <c r="Z580" s="11"/>
      <c r="AA580" s="11" t="str">
        <f>IF($AW580="","",IF(INDEX(教室申込!$J$1:$J$212,$AW580)="","",INDEX(教室申込!$J$1:$J$212,$AW580)))</f>
        <v/>
      </c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" t="str">
        <f>IF(AND(ROW()-1&lt;=教室申込!$K$5,教室申込!$K$7=0,COUNTA(教室申込!$C$4)=1),INDEX(展開用!$B$2:$B$601,MATCH(ROW()-1,展開用!$E$2:$E$601,0)),"")</f>
        <v/>
      </c>
      <c r="AX580" s="1"/>
      <c r="AY580" s="1"/>
    </row>
    <row r="581" spans="1:51" ht="24" customHeight="1">
      <c r="A581" s="11"/>
      <c r="B581" s="11"/>
      <c r="C581" s="11"/>
      <c r="D581" s="11"/>
      <c r="E581" s="11"/>
      <c r="F581" s="11"/>
      <c r="G581" s="11"/>
      <c r="H581" s="11" t="str">
        <f>IF(AND(ROW()-1&lt;=教室申込!$K$5,教室申込!$K$7=0,COUNTA(教室申込!$C$4)=1),INDEX(展開用!$C$2:$C$601,MATCH(ROW()-1,展開用!$E$2:$E$601,0)),"")</f>
        <v/>
      </c>
      <c r="I581" s="11" t="str">
        <f>IF(AND(ROW()-1&lt;=教室申込!$K$5,教室申込!$K$7=0,COUNTA(教室申込!$C$4)=1),INDEX(展開用!$D$2:$D$601,MATCH(ROW()-1,展開用!$E$2:$E$601,0)),"")</f>
        <v/>
      </c>
      <c r="J581" s="11"/>
      <c r="K581" s="11"/>
      <c r="L581" s="11" t="str">
        <f>IF(AND(ROW()-1&lt;=教室申込!$K$5,教室申込!$K$7=0,COUNTA(教室申込!$C$4)=1),INDEX(教室申込!$B$1:$B$212,$AW581),"")</f>
        <v/>
      </c>
      <c r="M581" s="11" t="str">
        <f>IF(AND(ROW()-1&lt;=教室申込!$K$5,教室申込!$K$7=0,COUNTA(教室申込!$C$4)=1),INDEX(教室申込!$C$1:$C$212,$AW581),"")</f>
        <v/>
      </c>
      <c r="N581" s="11"/>
      <c r="O581" s="12" t="str">
        <f>IF(AND(ROW()-1&lt;=教室申込!$K$5,教室申込!$K$7=0,COUNTA(教室申込!$C$4)=1),INDEX(展開用!$G$2:$G$601,MATCH(ROW()-1,展開用!$E$2:$E$601,0)),"")</f>
        <v/>
      </c>
      <c r="P581" s="11"/>
      <c r="Q581" s="11"/>
      <c r="R581" s="11"/>
      <c r="S581" s="11"/>
      <c r="T581" s="11"/>
      <c r="U581" s="11" t="str">
        <f>IF(AND(ROW()-1&lt;=教室申込!$K$5,教室申込!$K$7=0,COUNTA(教室申込!$C$4)=1),INDEX(展開用!$F$2:$F$601,MATCH(ROW()-1,展開用!$E$2:$E$601,0)),"")</f>
        <v/>
      </c>
      <c r="V581" s="11"/>
      <c r="W581" s="11"/>
      <c r="X581" s="11"/>
      <c r="Y581" s="11"/>
      <c r="Z581" s="11"/>
      <c r="AA581" s="11" t="str">
        <f>IF($AW581="","",IF(INDEX(教室申込!$J$1:$J$212,$AW581)="","",INDEX(教室申込!$J$1:$J$212,$AW581)))</f>
        <v/>
      </c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" t="str">
        <f>IF(AND(ROW()-1&lt;=教室申込!$K$5,教室申込!$K$7=0,COUNTA(教室申込!$C$4)=1),INDEX(展開用!$B$2:$B$601,MATCH(ROW()-1,展開用!$E$2:$E$601,0)),"")</f>
        <v/>
      </c>
      <c r="AX581" s="1"/>
      <c r="AY581" s="1"/>
    </row>
    <row r="582" spans="1:51" ht="24" customHeight="1">
      <c r="A582" s="11"/>
      <c r="B582" s="11"/>
      <c r="C582" s="11"/>
      <c r="D582" s="11"/>
      <c r="E582" s="11"/>
      <c r="F582" s="11"/>
      <c r="G582" s="11"/>
      <c r="H582" s="11" t="str">
        <f>IF(AND(ROW()-1&lt;=教室申込!$K$5,教室申込!$K$7=0,COUNTA(教室申込!$C$4)=1),INDEX(展開用!$C$2:$C$601,MATCH(ROW()-1,展開用!$E$2:$E$601,0)),"")</f>
        <v/>
      </c>
      <c r="I582" s="11" t="str">
        <f>IF(AND(ROW()-1&lt;=教室申込!$K$5,教室申込!$K$7=0,COUNTA(教室申込!$C$4)=1),INDEX(展開用!$D$2:$D$601,MATCH(ROW()-1,展開用!$E$2:$E$601,0)),"")</f>
        <v/>
      </c>
      <c r="J582" s="11"/>
      <c r="K582" s="11"/>
      <c r="L582" s="11" t="str">
        <f>IF(AND(ROW()-1&lt;=教室申込!$K$5,教室申込!$K$7=0,COUNTA(教室申込!$C$4)=1),INDEX(教室申込!$B$1:$B$212,$AW582),"")</f>
        <v/>
      </c>
      <c r="M582" s="11" t="str">
        <f>IF(AND(ROW()-1&lt;=教室申込!$K$5,教室申込!$K$7=0,COUNTA(教室申込!$C$4)=1),INDEX(教室申込!$C$1:$C$212,$AW582),"")</f>
        <v/>
      </c>
      <c r="N582" s="11"/>
      <c r="O582" s="12" t="str">
        <f>IF(AND(ROW()-1&lt;=教室申込!$K$5,教室申込!$K$7=0,COUNTA(教室申込!$C$4)=1),INDEX(展開用!$G$2:$G$601,MATCH(ROW()-1,展開用!$E$2:$E$601,0)),"")</f>
        <v/>
      </c>
      <c r="P582" s="11"/>
      <c r="Q582" s="11"/>
      <c r="R582" s="11"/>
      <c r="S582" s="11"/>
      <c r="T582" s="11"/>
      <c r="U582" s="11" t="str">
        <f>IF(AND(ROW()-1&lt;=教室申込!$K$5,教室申込!$K$7=0,COUNTA(教室申込!$C$4)=1),INDEX(展開用!$F$2:$F$601,MATCH(ROW()-1,展開用!$E$2:$E$601,0)),"")</f>
        <v/>
      </c>
      <c r="V582" s="11"/>
      <c r="W582" s="11"/>
      <c r="X582" s="11"/>
      <c r="Y582" s="11"/>
      <c r="Z582" s="11"/>
      <c r="AA582" s="11" t="str">
        <f>IF($AW582="","",IF(INDEX(教室申込!$J$1:$J$212,$AW582)="","",INDEX(教室申込!$J$1:$J$212,$AW582)))</f>
        <v/>
      </c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" t="str">
        <f>IF(AND(ROW()-1&lt;=教室申込!$K$5,教室申込!$K$7=0,COUNTA(教室申込!$C$4)=1),INDEX(展開用!$B$2:$B$601,MATCH(ROW()-1,展開用!$E$2:$E$601,0)),"")</f>
        <v/>
      </c>
      <c r="AX582" s="1"/>
      <c r="AY582" s="1"/>
    </row>
    <row r="583" spans="1:51" ht="24" customHeight="1">
      <c r="A583" s="11"/>
      <c r="B583" s="11"/>
      <c r="C583" s="11"/>
      <c r="D583" s="11"/>
      <c r="E583" s="11"/>
      <c r="F583" s="11"/>
      <c r="G583" s="11"/>
      <c r="H583" s="11" t="str">
        <f>IF(AND(ROW()-1&lt;=教室申込!$K$5,教室申込!$K$7=0,COUNTA(教室申込!$C$4)=1),INDEX(展開用!$C$2:$C$601,MATCH(ROW()-1,展開用!$E$2:$E$601,0)),"")</f>
        <v/>
      </c>
      <c r="I583" s="11" t="str">
        <f>IF(AND(ROW()-1&lt;=教室申込!$K$5,教室申込!$K$7=0,COUNTA(教室申込!$C$4)=1),INDEX(展開用!$D$2:$D$601,MATCH(ROW()-1,展開用!$E$2:$E$601,0)),"")</f>
        <v/>
      </c>
      <c r="J583" s="11"/>
      <c r="K583" s="11"/>
      <c r="L583" s="11" t="str">
        <f>IF(AND(ROW()-1&lt;=教室申込!$K$5,教室申込!$K$7=0,COUNTA(教室申込!$C$4)=1),INDEX(教室申込!$B$1:$B$212,$AW583),"")</f>
        <v/>
      </c>
      <c r="M583" s="11" t="str">
        <f>IF(AND(ROW()-1&lt;=教室申込!$K$5,教室申込!$K$7=0,COUNTA(教室申込!$C$4)=1),INDEX(教室申込!$C$1:$C$212,$AW583),"")</f>
        <v/>
      </c>
      <c r="N583" s="11"/>
      <c r="O583" s="12" t="str">
        <f>IF(AND(ROW()-1&lt;=教室申込!$K$5,教室申込!$K$7=0,COUNTA(教室申込!$C$4)=1),INDEX(展開用!$G$2:$G$601,MATCH(ROW()-1,展開用!$E$2:$E$601,0)),"")</f>
        <v/>
      </c>
      <c r="P583" s="11"/>
      <c r="Q583" s="11"/>
      <c r="R583" s="11"/>
      <c r="S583" s="11"/>
      <c r="T583" s="11"/>
      <c r="U583" s="11" t="str">
        <f>IF(AND(ROW()-1&lt;=教室申込!$K$5,教室申込!$K$7=0,COUNTA(教室申込!$C$4)=1),INDEX(展開用!$F$2:$F$601,MATCH(ROW()-1,展開用!$E$2:$E$601,0)),"")</f>
        <v/>
      </c>
      <c r="V583" s="11"/>
      <c r="W583" s="11"/>
      <c r="X583" s="11"/>
      <c r="Y583" s="11"/>
      <c r="Z583" s="11"/>
      <c r="AA583" s="11" t="str">
        <f>IF($AW583="","",IF(INDEX(教室申込!$J$1:$J$212,$AW583)="","",INDEX(教室申込!$J$1:$J$212,$AW583)))</f>
        <v/>
      </c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" t="str">
        <f>IF(AND(ROW()-1&lt;=教室申込!$K$5,教室申込!$K$7=0,COUNTA(教室申込!$C$4)=1),INDEX(展開用!$B$2:$B$601,MATCH(ROW()-1,展開用!$E$2:$E$601,0)),"")</f>
        <v/>
      </c>
      <c r="AX583" s="1"/>
      <c r="AY583" s="1"/>
    </row>
    <row r="584" spans="1:51" ht="24" customHeight="1">
      <c r="A584" s="11"/>
      <c r="B584" s="11"/>
      <c r="C584" s="11"/>
      <c r="D584" s="11"/>
      <c r="E584" s="11"/>
      <c r="F584" s="11"/>
      <c r="G584" s="11"/>
      <c r="H584" s="11" t="str">
        <f>IF(AND(ROW()-1&lt;=教室申込!$K$5,教室申込!$K$7=0,COUNTA(教室申込!$C$4)=1),INDEX(展開用!$C$2:$C$601,MATCH(ROW()-1,展開用!$E$2:$E$601,0)),"")</f>
        <v/>
      </c>
      <c r="I584" s="11" t="str">
        <f>IF(AND(ROW()-1&lt;=教室申込!$K$5,教室申込!$K$7=0,COUNTA(教室申込!$C$4)=1),INDEX(展開用!$D$2:$D$601,MATCH(ROW()-1,展開用!$E$2:$E$601,0)),"")</f>
        <v/>
      </c>
      <c r="J584" s="11"/>
      <c r="K584" s="11"/>
      <c r="L584" s="11" t="str">
        <f>IF(AND(ROW()-1&lt;=教室申込!$K$5,教室申込!$K$7=0,COUNTA(教室申込!$C$4)=1),INDEX(教室申込!$B$1:$B$212,$AW584),"")</f>
        <v/>
      </c>
      <c r="M584" s="11" t="str">
        <f>IF(AND(ROW()-1&lt;=教室申込!$K$5,教室申込!$K$7=0,COUNTA(教室申込!$C$4)=1),INDEX(教室申込!$C$1:$C$212,$AW584),"")</f>
        <v/>
      </c>
      <c r="N584" s="11"/>
      <c r="O584" s="12" t="str">
        <f>IF(AND(ROW()-1&lt;=教室申込!$K$5,教室申込!$K$7=0,COUNTA(教室申込!$C$4)=1),INDEX(展開用!$G$2:$G$601,MATCH(ROW()-1,展開用!$E$2:$E$601,0)),"")</f>
        <v/>
      </c>
      <c r="P584" s="11"/>
      <c r="Q584" s="11"/>
      <c r="R584" s="11"/>
      <c r="S584" s="11"/>
      <c r="T584" s="11"/>
      <c r="U584" s="11" t="str">
        <f>IF(AND(ROW()-1&lt;=教室申込!$K$5,教室申込!$K$7=0,COUNTA(教室申込!$C$4)=1),INDEX(展開用!$F$2:$F$601,MATCH(ROW()-1,展開用!$E$2:$E$601,0)),"")</f>
        <v/>
      </c>
      <c r="V584" s="11"/>
      <c r="W584" s="11"/>
      <c r="X584" s="11"/>
      <c r="Y584" s="11"/>
      <c r="Z584" s="11"/>
      <c r="AA584" s="11" t="str">
        <f>IF($AW584="","",IF(INDEX(教室申込!$J$1:$J$212,$AW584)="","",INDEX(教室申込!$J$1:$J$212,$AW584)))</f>
        <v/>
      </c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" t="str">
        <f>IF(AND(ROW()-1&lt;=教室申込!$K$5,教室申込!$K$7=0,COUNTA(教室申込!$C$4)=1),INDEX(展開用!$B$2:$B$601,MATCH(ROW()-1,展開用!$E$2:$E$601,0)),"")</f>
        <v/>
      </c>
      <c r="AX584" s="1"/>
      <c r="AY584" s="1"/>
    </row>
    <row r="585" spans="1:51" ht="24" customHeight="1">
      <c r="A585" s="11"/>
      <c r="B585" s="11"/>
      <c r="C585" s="11"/>
      <c r="D585" s="11"/>
      <c r="E585" s="11"/>
      <c r="F585" s="11"/>
      <c r="G585" s="11"/>
      <c r="H585" s="11" t="str">
        <f>IF(AND(ROW()-1&lt;=教室申込!$K$5,教室申込!$K$7=0,COUNTA(教室申込!$C$4)=1),INDEX(展開用!$C$2:$C$601,MATCH(ROW()-1,展開用!$E$2:$E$601,0)),"")</f>
        <v/>
      </c>
      <c r="I585" s="11" t="str">
        <f>IF(AND(ROW()-1&lt;=教室申込!$K$5,教室申込!$K$7=0,COUNTA(教室申込!$C$4)=1),INDEX(展開用!$D$2:$D$601,MATCH(ROW()-1,展開用!$E$2:$E$601,0)),"")</f>
        <v/>
      </c>
      <c r="J585" s="11"/>
      <c r="K585" s="11"/>
      <c r="L585" s="11" t="str">
        <f>IF(AND(ROW()-1&lt;=教室申込!$K$5,教室申込!$K$7=0,COUNTA(教室申込!$C$4)=1),INDEX(教室申込!$B$1:$B$212,$AW585),"")</f>
        <v/>
      </c>
      <c r="M585" s="11" t="str">
        <f>IF(AND(ROW()-1&lt;=教室申込!$K$5,教室申込!$K$7=0,COUNTA(教室申込!$C$4)=1),INDEX(教室申込!$C$1:$C$212,$AW585),"")</f>
        <v/>
      </c>
      <c r="N585" s="11"/>
      <c r="O585" s="12" t="str">
        <f>IF(AND(ROW()-1&lt;=教室申込!$K$5,教室申込!$K$7=0,COUNTA(教室申込!$C$4)=1),INDEX(展開用!$G$2:$G$601,MATCH(ROW()-1,展開用!$E$2:$E$601,0)),"")</f>
        <v/>
      </c>
      <c r="P585" s="11"/>
      <c r="Q585" s="11"/>
      <c r="R585" s="11"/>
      <c r="S585" s="11"/>
      <c r="T585" s="11"/>
      <c r="U585" s="11" t="str">
        <f>IF(AND(ROW()-1&lt;=教室申込!$K$5,教室申込!$K$7=0,COUNTA(教室申込!$C$4)=1),INDEX(展開用!$F$2:$F$601,MATCH(ROW()-1,展開用!$E$2:$E$601,0)),"")</f>
        <v/>
      </c>
      <c r="V585" s="11"/>
      <c r="W585" s="11"/>
      <c r="X585" s="11"/>
      <c r="Y585" s="11"/>
      <c r="Z585" s="11"/>
      <c r="AA585" s="11" t="str">
        <f>IF($AW585="","",IF(INDEX(教室申込!$J$1:$J$212,$AW585)="","",INDEX(教室申込!$J$1:$J$212,$AW585)))</f>
        <v/>
      </c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" t="str">
        <f>IF(AND(ROW()-1&lt;=教室申込!$K$5,教室申込!$K$7=0,COUNTA(教室申込!$C$4)=1),INDEX(展開用!$B$2:$B$601,MATCH(ROW()-1,展開用!$E$2:$E$601,0)),"")</f>
        <v/>
      </c>
      <c r="AX585" s="1"/>
      <c r="AY585" s="1"/>
    </row>
    <row r="586" spans="1:51" ht="24" customHeight="1">
      <c r="A586" s="11"/>
      <c r="B586" s="11"/>
      <c r="C586" s="11"/>
      <c r="D586" s="11"/>
      <c r="E586" s="11"/>
      <c r="F586" s="11"/>
      <c r="G586" s="11"/>
      <c r="H586" s="11" t="str">
        <f>IF(AND(ROW()-1&lt;=教室申込!$K$5,教室申込!$K$7=0,COUNTA(教室申込!$C$4)=1),INDEX(展開用!$C$2:$C$601,MATCH(ROW()-1,展開用!$E$2:$E$601,0)),"")</f>
        <v/>
      </c>
      <c r="I586" s="11" t="str">
        <f>IF(AND(ROW()-1&lt;=教室申込!$K$5,教室申込!$K$7=0,COUNTA(教室申込!$C$4)=1),INDEX(展開用!$D$2:$D$601,MATCH(ROW()-1,展開用!$E$2:$E$601,0)),"")</f>
        <v/>
      </c>
      <c r="J586" s="11"/>
      <c r="K586" s="11"/>
      <c r="L586" s="11" t="str">
        <f>IF(AND(ROW()-1&lt;=教室申込!$K$5,教室申込!$K$7=0,COUNTA(教室申込!$C$4)=1),INDEX(教室申込!$B$1:$B$212,$AW586),"")</f>
        <v/>
      </c>
      <c r="M586" s="11" t="str">
        <f>IF(AND(ROW()-1&lt;=教室申込!$K$5,教室申込!$K$7=0,COUNTA(教室申込!$C$4)=1),INDEX(教室申込!$C$1:$C$212,$AW586),"")</f>
        <v/>
      </c>
      <c r="N586" s="11"/>
      <c r="O586" s="12" t="str">
        <f>IF(AND(ROW()-1&lt;=教室申込!$K$5,教室申込!$K$7=0,COUNTA(教室申込!$C$4)=1),INDEX(展開用!$G$2:$G$601,MATCH(ROW()-1,展開用!$E$2:$E$601,0)),"")</f>
        <v/>
      </c>
      <c r="P586" s="11"/>
      <c r="Q586" s="11"/>
      <c r="R586" s="11"/>
      <c r="S586" s="11"/>
      <c r="T586" s="11"/>
      <c r="U586" s="11" t="str">
        <f>IF(AND(ROW()-1&lt;=教室申込!$K$5,教室申込!$K$7=0,COUNTA(教室申込!$C$4)=1),INDEX(展開用!$F$2:$F$601,MATCH(ROW()-1,展開用!$E$2:$E$601,0)),"")</f>
        <v/>
      </c>
      <c r="V586" s="11"/>
      <c r="W586" s="11"/>
      <c r="X586" s="11"/>
      <c r="Y586" s="11"/>
      <c r="Z586" s="11"/>
      <c r="AA586" s="11" t="str">
        <f>IF($AW586="","",IF(INDEX(教室申込!$J$1:$J$212,$AW586)="","",INDEX(教室申込!$J$1:$J$212,$AW586)))</f>
        <v/>
      </c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" t="str">
        <f>IF(AND(ROW()-1&lt;=教室申込!$K$5,教室申込!$K$7=0,COUNTA(教室申込!$C$4)=1),INDEX(展開用!$B$2:$B$601,MATCH(ROW()-1,展開用!$E$2:$E$601,0)),"")</f>
        <v/>
      </c>
      <c r="AX586" s="1"/>
      <c r="AY586" s="1"/>
    </row>
    <row r="587" spans="1:51" ht="24" customHeight="1">
      <c r="A587" s="11"/>
      <c r="B587" s="11"/>
      <c r="C587" s="11"/>
      <c r="D587" s="11"/>
      <c r="E587" s="11"/>
      <c r="F587" s="11"/>
      <c r="G587" s="11"/>
      <c r="H587" s="11" t="str">
        <f>IF(AND(ROW()-1&lt;=教室申込!$K$5,教室申込!$K$7=0,COUNTA(教室申込!$C$4)=1),INDEX(展開用!$C$2:$C$601,MATCH(ROW()-1,展開用!$E$2:$E$601,0)),"")</f>
        <v/>
      </c>
      <c r="I587" s="11" t="str">
        <f>IF(AND(ROW()-1&lt;=教室申込!$K$5,教室申込!$K$7=0,COUNTA(教室申込!$C$4)=1),INDEX(展開用!$D$2:$D$601,MATCH(ROW()-1,展開用!$E$2:$E$601,0)),"")</f>
        <v/>
      </c>
      <c r="J587" s="11"/>
      <c r="K587" s="11"/>
      <c r="L587" s="11" t="str">
        <f>IF(AND(ROW()-1&lt;=教室申込!$K$5,教室申込!$K$7=0,COUNTA(教室申込!$C$4)=1),INDEX(教室申込!$B$1:$B$212,$AW587),"")</f>
        <v/>
      </c>
      <c r="M587" s="11" t="str">
        <f>IF(AND(ROW()-1&lt;=教室申込!$K$5,教室申込!$K$7=0,COUNTA(教室申込!$C$4)=1),INDEX(教室申込!$C$1:$C$212,$AW587),"")</f>
        <v/>
      </c>
      <c r="N587" s="11"/>
      <c r="O587" s="12" t="str">
        <f>IF(AND(ROW()-1&lt;=教室申込!$K$5,教室申込!$K$7=0,COUNTA(教室申込!$C$4)=1),INDEX(展開用!$G$2:$G$601,MATCH(ROW()-1,展開用!$E$2:$E$601,0)),"")</f>
        <v/>
      </c>
      <c r="P587" s="11"/>
      <c r="Q587" s="11"/>
      <c r="R587" s="11"/>
      <c r="S587" s="11"/>
      <c r="T587" s="11"/>
      <c r="U587" s="11" t="str">
        <f>IF(AND(ROW()-1&lt;=教室申込!$K$5,教室申込!$K$7=0,COUNTA(教室申込!$C$4)=1),INDEX(展開用!$F$2:$F$601,MATCH(ROW()-1,展開用!$E$2:$E$601,0)),"")</f>
        <v/>
      </c>
      <c r="V587" s="11"/>
      <c r="W587" s="11"/>
      <c r="X587" s="11"/>
      <c r="Y587" s="11"/>
      <c r="Z587" s="11"/>
      <c r="AA587" s="11" t="str">
        <f>IF($AW587="","",IF(INDEX(教室申込!$J$1:$J$212,$AW587)="","",INDEX(教室申込!$J$1:$J$212,$AW587)))</f>
        <v/>
      </c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" t="str">
        <f>IF(AND(ROW()-1&lt;=教室申込!$K$5,教室申込!$K$7=0,COUNTA(教室申込!$C$4)=1),INDEX(展開用!$B$2:$B$601,MATCH(ROW()-1,展開用!$E$2:$E$601,0)),"")</f>
        <v/>
      </c>
      <c r="AX587" s="1"/>
      <c r="AY587" s="1"/>
    </row>
    <row r="588" spans="1:51" ht="24" customHeight="1">
      <c r="A588" s="11"/>
      <c r="B588" s="11"/>
      <c r="C588" s="11"/>
      <c r="D588" s="11"/>
      <c r="E588" s="11"/>
      <c r="F588" s="11"/>
      <c r="G588" s="11"/>
      <c r="H588" s="11" t="str">
        <f>IF(AND(ROW()-1&lt;=教室申込!$K$5,教室申込!$K$7=0,COUNTA(教室申込!$C$4)=1),INDEX(展開用!$C$2:$C$601,MATCH(ROW()-1,展開用!$E$2:$E$601,0)),"")</f>
        <v/>
      </c>
      <c r="I588" s="11" t="str">
        <f>IF(AND(ROW()-1&lt;=教室申込!$K$5,教室申込!$K$7=0,COUNTA(教室申込!$C$4)=1),INDEX(展開用!$D$2:$D$601,MATCH(ROW()-1,展開用!$E$2:$E$601,0)),"")</f>
        <v/>
      </c>
      <c r="J588" s="11"/>
      <c r="K588" s="11"/>
      <c r="L588" s="11" t="str">
        <f>IF(AND(ROW()-1&lt;=教室申込!$K$5,教室申込!$K$7=0,COUNTA(教室申込!$C$4)=1),INDEX(教室申込!$B$1:$B$212,$AW588),"")</f>
        <v/>
      </c>
      <c r="M588" s="11" t="str">
        <f>IF(AND(ROW()-1&lt;=教室申込!$K$5,教室申込!$K$7=0,COUNTA(教室申込!$C$4)=1),INDEX(教室申込!$C$1:$C$212,$AW588),"")</f>
        <v/>
      </c>
      <c r="N588" s="11"/>
      <c r="O588" s="12" t="str">
        <f>IF(AND(ROW()-1&lt;=教室申込!$K$5,教室申込!$K$7=0,COUNTA(教室申込!$C$4)=1),INDEX(展開用!$G$2:$G$601,MATCH(ROW()-1,展開用!$E$2:$E$601,0)),"")</f>
        <v/>
      </c>
      <c r="P588" s="11"/>
      <c r="Q588" s="11"/>
      <c r="R588" s="11"/>
      <c r="S588" s="11"/>
      <c r="T588" s="11"/>
      <c r="U588" s="11" t="str">
        <f>IF(AND(ROW()-1&lt;=教室申込!$K$5,教室申込!$K$7=0,COUNTA(教室申込!$C$4)=1),INDEX(展開用!$F$2:$F$601,MATCH(ROW()-1,展開用!$E$2:$E$601,0)),"")</f>
        <v/>
      </c>
      <c r="V588" s="11"/>
      <c r="W588" s="11"/>
      <c r="X588" s="11"/>
      <c r="Y588" s="11"/>
      <c r="Z588" s="11"/>
      <c r="AA588" s="11" t="str">
        <f>IF($AW588="","",IF(INDEX(教室申込!$J$1:$J$212,$AW588)="","",INDEX(教室申込!$J$1:$J$212,$AW588)))</f>
        <v/>
      </c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" t="str">
        <f>IF(AND(ROW()-1&lt;=教室申込!$K$5,教室申込!$K$7=0,COUNTA(教室申込!$C$4)=1),INDEX(展開用!$B$2:$B$601,MATCH(ROW()-1,展開用!$E$2:$E$601,0)),"")</f>
        <v/>
      </c>
      <c r="AX588" s="1"/>
      <c r="AY588" s="1"/>
    </row>
    <row r="589" spans="1:51" ht="24" customHeight="1">
      <c r="A589" s="11"/>
      <c r="B589" s="11"/>
      <c r="C589" s="11"/>
      <c r="D589" s="11"/>
      <c r="E589" s="11"/>
      <c r="F589" s="11"/>
      <c r="G589" s="11"/>
      <c r="H589" s="11" t="str">
        <f>IF(AND(ROW()-1&lt;=教室申込!$K$5,教室申込!$K$7=0,COUNTA(教室申込!$C$4)=1),INDEX(展開用!$C$2:$C$601,MATCH(ROW()-1,展開用!$E$2:$E$601,0)),"")</f>
        <v/>
      </c>
      <c r="I589" s="11" t="str">
        <f>IF(AND(ROW()-1&lt;=教室申込!$K$5,教室申込!$K$7=0,COUNTA(教室申込!$C$4)=1),INDEX(展開用!$D$2:$D$601,MATCH(ROW()-1,展開用!$E$2:$E$601,0)),"")</f>
        <v/>
      </c>
      <c r="J589" s="11"/>
      <c r="K589" s="11"/>
      <c r="L589" s="11" t="str">
        <f>IF(AND(ROW()-1&lt;=教室申込!$K$5,教室申込!$K$7=0,COUNTA(教室申込!$C$4)=1),INDEX(教室申込!$B$1:$B$212,$AW589),"")</f>
        <v/>
      </c>
      <c r="M589" s="11" t="str">
        <f>IF(AND(ROW()-1&lt;=教室申込!$K$5,教室申込!$K$7=0,COUNTA(教室申込!$C$4)=1),INDEX(教室申込!$C$1:$C$212,$AW589),"")</f>
        <v/>
      </c>
      <c r="N589" s="11"/>
      <c r="O589" s="12" t="str">
        <f>IF(AND(ROW()-1&lt;=教室申込!$K$5,教室申込!$K$7=0,COUNTA(教室申込!$C$4)=1),INDEX(展開用!$G$2:$G$601,MATCH(ROW()-1,展開用!$E$2:$E$601,0)),"")</f>
        <v/>
      </c>
      <c r="P589" s="11"/>
      <c r="Q589" s="11"/>
      <c r="R589" s="11"/>
      <c r="S589" s="11"/>
      <c r="T589" s="11"/>
      <c r="U589" s="11" t="str">
        <f>IF(AND(ROW()-1&lt;=教室申込!$K$5,教室申込!$K$7=0,COUNTA(教室申込!$C$4)=1),INDEX(展開用!$F$2:$F$601,MATCH(ROW()-1,展開用!$E$2:$E$601,0)),"")</f>
        <v/>
      </c>
      <c r="V589" s="11"/>
      <c r="W589" s="11"/>
      <c r="X589" s="11"/>
      <c r="Y589" s="11"/>
      <c r="Z589" s="11"/>
      <c r="AA589" s="11" t="str">
        <f>IF($AW589="","",IF(INDEX(教室申込!$J$1:$J$212,$AW589)="","",INDEX(教室申込!$J$1:$J$212,$AW589)))</f>
        <v/>
      </c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" t="str">
        <f>IF(AND(ROW()-1&lt;=教室申込!$K$5,教室申込!$K$7=0,COUNTA(教室申込!$C$4)=1),INDEX(展開用!$B$2:$B$601,MATCH(ROW()-1,展開用!$E$2:$E$601,0)),"")</f>
        <v/>
      </c>
      <c r="AX589" s="1"/>
      <c r="AY589" s="1"/>
    </row>
    <row r="590" spans="1:51" ht="24" customHeight="1">
      <c r="A590" s="11"/>
      <c r="B590" s="11"/>
      <c r="C590" s="11"/>
      <c r="D590" s="11"/>
      <c r="E590" s="11"/>
      <c r="F590" s="11"/>
      <c r="G590" s="11"/>
      <c r="H590" s="11" t="str">
        <f>IF(AND(ROW()-1&lt;=教室申込!$K$5,教室申込!$K$7=0,COUNTA(教室申込!$C$4)=1),INDEX(展開用!$C$2:$C$601,MATCH(ROW()-1,展開用!$E$2:$E$601,0)),"")</f>
        <v/>
      </c>
      <c r="I590" s="11" t="str">
        <f>IF(AND(ROW()-1&lt;=教室申込!$K$5,教室申込!$K$7=0,COUNTA(教室申込!$C$4)=1),INDEX(展開用!$D$2:$D$601,MATCH(ROW()-1,展開用!$E$2:$E$601,0)),"")</f>
        <v/>
      </c>
      <c r="J590" s="11"/>
      <c r="K590" s="11"/>
      <c r="L590" s="11" t="str">
        <f>IF(AND(ROW()-1&lt;=教室申込!$K$5,教室申込!$K$7=0,COUNTA(教室申込!$C$4)=1),INDEX(教室申込!$B$1:$B$212,$AW590),"")</f>
        <v/>
      </c>
      <c r="M590" s="11" t="str">
        <f>IF(AND(ROW()-1&lt;=教室申込!$K$5,教室申込!$K$7=0,COUNTA(教室申込!$C$4)=1),INDEX(教室申込!$C$1:$C$212,$AW590),"")</f>
        <v/>
      </c>
      <c r="N590" s="11"/>
      <c r="O590" s="12" t="str">
        <f>IF(AND(ROW()-1&lt;=教室申込!$K$5,教室申込!$K$7=0,COUNTA(教室申込!$C$4)=1),INDEX(展開用!$G$2:$G$601,MATCH(ROW()-1,展開用!$E$2:$E$601,0)),"")</f>
        <v/>
      </c>
      <c r="P590" s="11"/>
      <c r="Q590" s="11"/>
      <c r="R590" s="11"/>
      <c r="S590" s="11"/>
      <c r="T590" s="11"/>
      <c r="U590" s="11" t="str">
        <f>IF(AND(ROW()-1&lt;=教室申込!$K$5,教室申込!$K$7=0,COUNTA(教室申込!$C$4)=1),INDEX(展開用!$F$2:$F$601,MATCH(ROW()-1,展開用!$E$2:$E$601,0)),"")</f>
        <v/>
      </c>
      <c r="V590" s="11"/>
      <c r="W590" s="11"/>
      <c r="X590" s="11"/>
      <c r="Y590" s="11"/>
      <c r="Z590" s="11"/>
      <c r="AA590" s="11" t="str">
        <f>IF($AW590="","",IF(INDEX(教室申込!$J$1:$J$212,$AW590)="","",INDEX(教室申込!$J$1:$J$212,$AW590)))</f>
        <v/>
      </c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" t="str">
        <f>IF(AND(ROW()-1&lt;=教室申込!$K$5,教室申込!$K$7=0,COUNTA(教室申込!$C$4)=1),INDEX(展開用!$B$2:$B$601,MATCH(ROW()-1,展開用!$E$2:$E$601,0)),"")</f>
        <v/>
      </c>
      <c r="AX590" s="1"/>
      <c r="AY590" s="1"/>
    </row>
    <row r="591" spans="1:51" ht="24" customHeight="1">
      <c r="A591" s="11"/>
      <c r="B591" s="11"/>
      <c r="C591" s="11"/>
      <c r="D591" s="11"/>
      <c r="E591" s="11"/>
      <c r="F591" s="11"/>
      <c r="G591" s="11"/>
      <c r="H591" s="11" t="str">
        <f>IF(AND(ROW()-1&lt;=教室申込!$K$5,教室申込!$K$7=0,COUNTA(教室申込!$C$4)=1),INDEX(展開用!$C$2:$C$601,MATCH(ROW()-1,展開用!$E$2:$E$601,0)),"")</f>
        <v/>
      </c>
      <c r="I591" s="11" t="str">
        <f>IF(AND(ROW()-1&lt;=教室申込!$K$5,教室申込!$K$7=0,COUNTA(教室申込!$C$4)=1),INDEX(展開用!$D$2:$D$601,MATCH(ROW()-1,展開用!$E$2:$E$601,0)),"")</f>
        <v/>
      </c>
      <c r="J591" s="11"/>
      <c r="K591" s="11"/>
      <c r="L591" s="11" t="str">
        <f>IF(AND(ROW()-1&lt;=教室申込!$K$5,教室申込!$K$7=0,COUNTA(教室申込!$C$4)=1),INDEX(教室申込!$B$1:$B$212,$AW591),"")</f>
        <v/>
      </c>
      <c r="M591" s="11" t="str">
        <f>IF(AND(ROW()-1&lt;=教室申込!$K$5,教室申込!$K$7=0,COUNTA(教室申込!$C$4)=1),INDEX(教室申込!$C$1:$C$212,$AW591),"")</f>
        <v/>
      </c>
      <c r="N591" s="11"/>
      <c r="O591" s="12" t="str">
        <f>IF(AND(ROW()-1&lt;=教室申込!$K$5,教室申込!$K$7=0,COUNTA(教室申込!$C$4)=1),INDEX(展開用!$G$2:$G$601,MATCH(ROW()-1,展開用!$E$2:$E$601,0)),"")</f>
        <v/>
      </c>
      <c r="P591" s="11"/>
      <c r="Q591" s="11"/>
      <c r="R591" s="11"/>
      <c r="S591" s="11"/>
      <c r="T591" s="11"/>
      <c r="U591" s="11" t="str">
        <f>IF(AND(ROW()-1&lt;=教室申込!$K$5,教室申込!$K$7=0,COUNTA(教室申込!$C$4)=1),INDEX(展開用!$F$2:$F$601,MATCH(ROW()-1,展開用!$E$2:$E$601,0)),"")</f>
        <v/>
      </c>
      <c r="V591" s="11"/>
      <c r="W591" s="11"/>
      <c r="X591" s="11"/>
      <c r="Y591" s="11"/>
      <c r="Z591" s="11"/>
      <c r="AA591" s="11" t="str">
        <f>IF($AW591="","",IF(INDEX(教室申込!$J$1:$J$212,$AW591)="","",INDEX(教室申込!$J$1:$J$212,$AW591)))</f>
        <v/>
      </c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" t="str">
        <f>IF(AND(ROW()-1&lt;=教室申込!$K$5,教室申込!$K$7=0,COUNTA(教室申込!$C$4)=1),INDEX(展開用!$B$2:$B$601,MATCH(ROW()-1,展開用!$E$2:$E$601,0)),"")</f>
        <v/>
      </c>
      <c r="AX591" s="1"/>
      <c r="AY591" s="1"/>
    </row>
    <row r="592" spans="1:51" ht="24" customHeight="1">
      <c r="A592" s="11"/>
      <c r="B592" s="11"/>
      <c r="C592" s="11"/>
      <c r="D592" s="11"/>
      <c r="E592" s="11"/>
      <c r="F592" s="11"/>
      <c r="G592" s="11"/>
      <c r="H592" s="11" t="str">
        <f>IF(AND(ROW()-1&lt;=教室申込!$K$5,教室申込!$K$7=0,COUNTA(教室申込!$C$4)=1),INDEX(展開用!$C$2:$C$601,MATCH(ROW()-1,展開用!$E$2:$E$601,0)),"")</f>
        <v/>
      </c>
      <c r="I592" s="11" t="str">
        <f>IF(AND(ROW()-1&lt;=教室申込!$K$5,教室申込!$K$7=0,COUNTA(教室申込!$C$4)=1),INDEX(展開用!$D$2:$D$601,MATCH(ROW()-1,展開用!$E$2:$E$601,0)),"")</f>
        <v/>
      </c>
      <c r="J592" s="11"/>
      <c r="K592" s="11"/>
      <c r="L592" s="11" t="str">
        <f>IF(AND(ROW()-1&lt;=教室申込!$K$5,教室申込!$K$7=0,COUNTA(教室申込!$C$4)=1),INDEX(教室申込!$B$1:$B$212,$AW592),"")</f>
        <v/>
      </c>
      <c r="M592" s="11" t="str">
        <f>IF(AND(ROW()-1&lt;=教室申込!$K$5,教室申込!$K$7=0,COUNTA(教室申込!$C$4)=1),INDEX(教室申込!$C$1:$C$212,$AW592),"")</f>
        <v/>
      </c>
      <c r="N592" s="11"/>
      <c r="O592" s="12" t="str">
        <f>IF(AND(ROW()-1&lt;=教室申込!$K$5,教室申込!$K$7=0,COUNTA(教室申込!$C$4)=1),INDEX(展開用!$G$2:$G$601,MATCH(ROW()-1,展開用!$E$2:$E$601,0)),"")</f>
        <v/>
      </c>
      <c r="P592" s="11"/>
      <c r="Q592" s="11"/>
      <c r="R592" s="11"/>
      <c r="S592" s="11"/>
      <c r="T592" s="11"/>
      <c r="U592" s="11" t="str">
        <f>IF(AND(ROW()-1&lt;=教室申込!$K$5,教室申込!$K$7=0,COUNTA(教室申込!$C$4)=1),INDEX(展開用!$F$2:$F$601,MATCH(ROW()-1,展開用!$E$2:$E$601,0)),"")</f>
        <v/>
      </c>
      <c r="V592" s="11"/>
      <c r="W592" s="11"/>
      <c r="X592" s="11"/>
      <c r="Y592" s="11"/>
      <c r="Z592" s="11"/>
      <c r="AA592" s="11" t="str">
        <f>IF($AW592="","",IF(INDEX(教室申込!$J$1:$J$212,$AW592)="","",INDEX(教室申込!$J$1:$J$212,$AW592)))</f>
        <v/>
      </c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" t="str">
        <f>IF(AND(ROW()-1&lt;=教室申込!$K$5,教室申込!$K$7=0,COUNTA(教室申込!$C$4)=1),INDEX(展開用!$B$2:$B$601,MATCH(ROW()-1,展開用!$E$2:$E$601,0)),"")</f>
        <v/>
      </c>
      <c r="AX592" s="1"/>
      <c r="AY592" s="1"/>
    </row>
    <row r="593" spans="1:51" ht="24" customHeight="1">
      <c r="A593" s="11"/>
      <c r="B593" s="11"/>
      <c r="C593" s="11"/>
      <c r="D593" s="11"/>
      <c r="E593" s="11"/>
      <c r="F593" s="11"/>
      <c r="G593" s="11"/>
      <c r="H593" s="11" t="str">
        <f>IF(AND(ROW()-1&lt;=教室申込!$K$5,教室申込!$K$7=0,COUNTA(教室申込!$C$4)=1),INDEX(展開用!$C$2:$C$601,MATCH(ROW()-1,展開用!$E$2:$E$601,0)),"")</f>
        <v/>
      </c>
      <c r="I593" s="11" t="str">
        <f>IF(AND(ROW()-1&lt;=教室申込!$K$5,教室申込!$K$7=0,COUNTA(教室申込!$C$4)=1),INDEX(展開用!$D$2:$D$601,MATCH(ROW()-1,展開用!$E$2:$E$601,0)),"")</f>
        <v/>
      </c>
      <c r="J593" s="11"/>
      <c r="K593" s="11"/>
      <c r="L593" s="11" t="str">
        <f>IF(AND(ROW()-1&lt;=教室申込!$K$5,教室申込!$K$7=0,COUNTA(教室申込!$C$4)=1),INDEX(教室申込!$B$1:$B$212,$AW593),"")</f>
        <v/>
      </c>
      <c r="M593" s="11" t="str">
        <f>IF(AND(ROW()-1&lt;=教室申込!$K$5,教室申込!$K$7=0,COUNTA(教室申込!$C$4)=1),INDEX(教室申込!$C$1:$C$212,$AW593),"")</f>
        <v/>
      </c>
      <c r="N593" s="11"/>
      <c r="O593" s="12" t="str">
        <f>IF(AND(ROW()-1&lt;=教室申込!$K$5,教室申込!$K$7=0,COUNTA(教室申込!$C$4)=1),INDEX(展開用!$G$2:$G$601,MATCH(ROW()-1,展開用!$E$2:$E$601,0)),"")</f>
        <v/>
      </c>
      <c r="P593" s="11"/>
      <c r="Q593" s="11"/>
      <c r="R593" s="11"/>
      <c r="S593" s="11"/>
      <c r="T593" s="11"/>
      <c r="U593" s="11" t="str">
        <f>IF(AND(ROW()-1&lt;=教室申込!$K$5,教室申込!$K$7=0,COUNTA(教室申込!$C$4)=1),INDEX(展開用!$F$2:$F$601,MATCH(ROW()-1,展開用!$E$2:$E$601,0)),"")</f>
        <v/>
      </c>
      <c r="V593" s="11"/>
      <c r="W593" s="11"/>
      <c r="X593" s="11"/>
      <c r="Y593" s="11"/>
      <c r="Z593" s="11"/>
      <c r="AA593" s="11" t="str">
        <f>IF($AW593="","",IF(INDEX(教室申込!$J$1:$J$212,$AW593)="","",INDEX(教室申込!$J$1:$J$212,$AW593)))</f>
        <v/>
      </c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" t="str">
        <f>IF(AND(ROW()-1&lt;=教室申込!$K$5,教室申込!$K$7=0,COUNTA(教室申込!$C$4)=1),INDEX(展開用!$B$2:$B$601,MATCH(ROW()-1,展開用!$E$2:$E$601,0)),"")</f>
        <v/>
      </c>
      <c r="AX593" s="1"/>
      <c r="AY593" s="1"/>
    </row>
    <row r="594" spans="1:51" ht="24" customHeight="1">
      <c r="A594" s="11"/>
      <c r="B594" s="11"/>
      <c r="C594" s="11"/>
      <c r="D594" s="11"/>
      <c r="E594" s="11"/>
      <c r="F594" s="11"/>
      <c r="G594" s="11"/>
      <c r="H594" s="11" t="str">
        <f>IF(AND(ROW()-1&lt;=教室申込!$K$5,教室申込!$K$7=0,COUNTA(教室申込!$C$4)=1),INDEX(展開用!$C$2:$C$601,MATCH(ROW()-1,展開用!$E$2:$E$601,0)),"")</f>
        <v/>
      </c>
      <c r="I594" s="11" t="str">
        <f>IF(AND(ROW()-1&lt;=教室申込!$K$5,教室申込!$K$7=0,COUNTA(教室申込!$C$4)=1),INDEX(展開用!$D$2:$D$601,MATCH(ROW()-1,展開用!$E$2:$E$601,0)),"")</f>
        <v/>
      </c>
      <c r="J594" s="11"/>
      <c r="K594" s="11"/>
      <c r="L594" s="11" t="str">
        <f>IF(AND(ROW()-1&lt;=教室申込!$K$5,教室申込!$K$7=0,COUNTA(教室申込!$C$4)=1),INDEX(教室申込!$B$1:$B$212,$AW594),"")</f>
        <v/>
      </c>
      <c r="M594" s="11" t="str">
        <f>IF(AND(ROW()-1&lt;=教室申込!$K$5,教室申込!$K$7=0,COUNTA(教室申込!$C$4)=1),INDEX(教室申込!$C$1:$C$212,$AW594),"")</f>
        <v/>
      </c>
      <c r="N594" s="11"/>
      <c r="O594" s="12" t="str">
        <f>IF(AND(ROW()-1&lt;=教室申込!$K$5,教室申込!$K$7=0,COUNTA(教室申込!$C$4)=1),INDEX(展開用!$G$2:$G$601,MATCH(ROW()-1,展開用!$E$2:$E$601,0)),"")</f>
        <v/>
      </c>
      <c r="P594" s="11"/>
      <c r="Q594" s="11"/>
      <c r="R594" s="11"/>
      <c r="S594" s="11"/>
      <c r="T594" s="11"/>
      <c r="U594" s="11" t="str">
        <f>IF(AND(ROW()-1&lt;=教室申込!$K$5,教室申込!$K$7=0,COUNTA(教室申込!$C$4)=1),INDEX(展開用!$F$2:$F$601,MATCH(ROW()-1,展開用!$E$2:$E$601,0)),"")</f>
        <v/>
      </c>
      <c r="V594" s="11"/>
      <c r="W594" s="11"/>
      <c r="X594" s="11"/>
      <c r="Y594" s="11"/>
      <c r="Z594" s="11"/>
      <c r="AA594" s="11" t="str">
        <f>IF($AW594="","",IF(INDEX(教室申込!$J$1:$J$212,$AW594)="","",INDEX(教室申込!$J$1:$J$212,$AW594)))</f>
        <v/>
      </c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" t="str">
        <f>IF(AND(ROW()-1&lt;=教室申込!$K$5,教室申込!$K$7=0,COUNTA(教室申込!$C$4)=1),INDEX(展開用!$B$2:$B$601,MATCH(ROW()-1,展開用!$E$2:$E$601,0)),"")</f>
        <v/>
      </c>
      <c r="AX594" s="1"/>
      <c r="AY594" s="1"/>
    </row>
    <row r="595" spans="1:51" ht="24" customHeight="1">
      <c r="A595" s="11"/>
      <c r="B595" s="11"/>
      <c r="C595" s="11"/>
      <c r="D595" s="11"/>
      <c r="E595" s="11"/>
      <c r="F595" s="11"/>
      <c r="G595" s="11"/>
      <c r="H595" s="11" t="str">
        <f>IF(AND(ROW()-1&lt;=教室申込!$K$5,教室申込!$K$7=0,COUNTA(教室申込!$C$4)=1),INDEX(展開用!$C$2:$C$601,MATCH(ROW()-1,展開用!$E$2:$E$601,0)),"")</f>
        <v/>
      </c>
      <c r="I595" s="11" t="str">
        <f>IF(AND(ROW()-1&lt;=教室申込!$K$5,教室申込!$K$7=0,COUNTA(教室申込!$C$4)=1),INDEX(展開用!$D$2:$D$601,MATCH(ROW()-1,展開用!$E$2:$E$601,0)),"")</f>
        <v/>
      </c>
      <c r="J595" s="11"/>
      <c r="K595" s="11"/>
      <c r="L595" s="11" t="str">
        <f>IF(AND(ROW()-1&lt;=教室申込!$K$5,教室申込!$K$7=0,COUNTA(教室申込!$C$4)=1),INDEX(教室申込!$B$1:$B$212,$AW595),"")</f>
        <v/>
      </c>
      <c r="M595" s="11" t="str">
        <f>IF(AND(ROW()-1&lt;=教室申込!$K$5,教室申込!$K$7=0,COUNTA(教室申込!$C$4)=1),INDEX(教室申込!$C$1:$C$212,$AW595),"")</f>
        <v/>
      </c>
      <c r="N595" s="11"/>
      <c r="O595" s="12" t="str">
        <f>IF(AND(ROW()-1&lt;=教室申込!$K$5,教室申込!$K$7=0,COUNTA(教室申込!$C$4)=1),INDEX(展開用!$G$2:$G$601,MATCH(ROW()-1,展開用!$E$2:$E$601,0)),"")</f>
        <v/>
      </c>
      <c r="P595" s="11"/>
      <c r="Q595" s="11"/>
      <c r="R595" s="11"/>
      <c r="S595" s="11"/>
      <c r="T595" s="11"/>
      <c r="U595" s="11" t="str">
        <f>IF(AND(ROW()-1&lt;=教室申込!$K$5,教室申込!$K$7=0,COUNTA(教室申込!$C$4)=1),INDEX(展開用!$F$2:$F$601,MATCH(ROW()-1,展開用!$E$2:$E$601,0)),"")</f>
        <v/>
      </c>
      <c r="V595" s="11"/>
      <c r="W595" s="11"/>
      <c r="X595" s="11"/>
      <c r="Y595" s="11"/>
      <c r="Z595" s="11"/>
      <c r="AA595" s="11" t="str">
        <f>IF($AW595="","",IF(INDEX(教室申込!$J$1:$J$212,$AW595)="","",INDEX(教室申込!$J$1:$J$212,$AW595)))</f>
        <v/>
      </c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" t="str">
        <f>IF(AND(ROW()-1&lt;=教室申込!$K$5,教室申込!$K$7=0,COUNTA(教室申込!$C$4)=1),INDEX(展開用!$B$2:$B$601,MATCH(ROW()-1,展開用!$E$2:$E$601,0)),"")</f>
        <v/>
      </c>
      <c r="AX595" s="1"/>
      <c r="AY595" s="1"/>
    </row>
    <row r="596" spans="1:51" ht="24" customHeight="1">
      <c r="A596" s="11"/>
      <c r="B596" s="11"/>
      <c r="C596" s="11"/>
      <c r="D596" s="11"/>
      <c r="E596" s="11"/>
      <c r="F596" s="11"/>
      <c r="G596" s="11"/>
      <c r="H596" s="11" t="str">
        <f>IF(AND(ROW()-1&lt;=教室申込!$K$5,教室申込!$K$7=0,COUNTA(教室申込!$C$4)=1),INDEX(展開用!$C$2:$C$601,MATCH(ROW()-1,展開用!$E$2:$E$601,0)),"")</f>
        <v/>
      </c>
      <c r="I596" s="11" t="str">
        <f>IF(AND(ROW()-1&lt;=教室申込!$K$5,教室申込!$K$7=0,COUNTA(教室申込!$C$4)=1),INDEX(展開用!$D$2:$D$601,MATCH(ROW()-1,展開用!$E$2:$E$601,0)),"")</f>
        <v/>
      </c>
      <c r="J596" s="11"/>
      <c r="K596" s="11"/>
      <c r="L596" s="11" t="str">
        <f>IF(AND(ROW()-1&lt;=教室申込!$K$5,教室申込!$K$7=0,COUNTA(教室申込!$C$4)=1),INDEX(教室申込!$B$1:$B$212,$AW596),"")</f>
        <v/>
      </c>
      <c r="M596" s="11" t="str">
        <f>IF(AND(ROW()-1&lt;=教室申込!$K$5,教室申込!$K$7=0,COUNTA(教室申込!$C$4)=1),INDEX(教室申込!$C$1:$C$212,$AW596),"")</f>
        <v/>
      </c>
      <c r="N596" s="11"/>
      <c r="O596" s="12" t="str">
        <f>IF(AND(ROW()-1&lt;=教室申込!$K$5,教室申込!$K$7=0,COUNTA(教室申込!$C$4)=1),INDEX(展開用!$G$2:$G$601,MATCH(ROW()-1,展開用!$E$2:$E$601,0)),"")</f>
        <v/>
      </c>
      <c r="P596" s="11"/>
      <c r="Q596" s="11"/>
      <c r="R596" s="11"/>
      <c r="S596" s="11"/>
      <c r="T596" s="11"/>
      <c r="U596" s="11" t="str">
        <f>IF(AND(ROW()-1&lt;=教室申込!$K$5,教室申込!$K$7=0,COUNTA(教室申込!$C$4)=1),INDEX(展開用!$F$2:$F$601,MATCH(ROW()-1,展開用!$E$2:$E$601,0)),"")</f>
        <v/>
      </c>
      <c r="V596" s="11"/>
      <c r="W596" s="11"/>
      <c r="X596" s="11"/>
      <c r="Y596" s="11"/>
      <c r="Z596" s="11"/>
      <c r="AA596" s="11" t="str">
        <f>IF($AW596="","",IF(INDEX(教室申込!$J$1:$J$212,$AW596)="","",INDEX(教室申込!$J$1:$J$212,$AW596)))</f>
        <v/>
      </c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" t="str">
        <f>IF(AND(ROW()-1&lt;=教室申込!$K$5,教室申込!$K$7=0,COUNTA(教室申込!$C$4)=1),INDEX(展開用!$B$2:$B$601,MATCH(ROW()-1,展開用!$E$2:$E$601,0)),"")</f>
        <v/>
      </c>
      <c r="AX596" s="1"/>
      <c r="AY596" s="1"/>
    </row>
    <row r="597" spans="1:51" ht="24" customHeight="1">
      <c r="A597" s="11"/>
      <c r="B597" s="11"/>
      <c r="C597" s="11"/>
      <c r="D597" s="11"/>
      <c r="E597" s="11"/>
      <c r="F597" s="11"/>
      <c r="G597" s="11"/>
      <c r="H597" s="11" t="str">
        <f>IF(AND(ROW()-1&lt;=教室申込!$K$5,教室申込!$K$7=0,COUNTA(教室申込!$C$4)=1),INDEX(展開用!$C$2:$C$601,MATCH(ROW()-1,展開用!$E$2:$E$601,0)),"")</f>
        <v/>
      </c>
      <c r="I597" s="11" t="str">
        <f>IF(AND(ROW()-1&lt;=教室申込!$K$5,教室申込!$K$7=0,COUNTA(教室申込!$C$4)=1),INDEX(展開用!$D$2:$D$601,MATCH(ROW()-1,展開用!$E$2:$E$601,0)),"")</f>
        <v/>
      </c>
      <c r="J597" s="11"/>
      <c r="K597" s="11"/>
      <c r="L597" s="11" t="str">
        <f>IF(AND(ROW()-1&lt;=教室申込!$K$5,教室申込!$K$7=0,COUNTA(教室申込!$C$4)=1),INDEX(教室申込!$B$1:$B$212,$AW597),"")</f>
        <v/>
      </c>
      <c r="M597" s="11" t="str">
        <f>IF(AND(ROW()-1&lt;=教室申込!$K$5,教室申込!$K$7=0,COUNTA(教室申込!$C$4)=1),INDEX(教室申込!$C$1:$C$212,$AW597),"")</f>
        <v/>
      </c>
      <c r="N597" s="11"/>
      <c r="O597" s="12" t="str">
        <f>IF(AND(ROW()-1&lt;=教室申込!$K$5,教室申込!$K$7=0,COUNTA(教室申込!$C$4)=1),INDEX(展開用!$G$2:$G$601,MATCH(ROW()-1,展開用!$E$2:$E$601,0)),"")</f>
        <v/>
      </c>
      <c r="P597" s="11"/>
      <c r="Q597" s="11"/>
      <c r="R597" s="11"/>
      <c r="S597" s="11"/>
      <c r="T597" s="11"/>
      <c r="U597" s="11" t="str">
        <f>IF(AND(ROW()-1&lt;=教室申込!$K$5,教室申込!$K$7=0,COUNTA(教室申込!$C$4)=1),INDEX(展開用!$F$2:$F$601,MATCH(ROW()-1,展開用!$E$2:$E$601,0)),"")</f>
        <v/>
      </c>
      <c r="V597" s="11"/>
      <c r="W597" s="11"/>
      <c r="X597" s="11"/>
      <c r="Y597" s="11"/>
      <c r="Z597" s="11"/>
      <c r="AA597" s="11" t="str">
        <f>IF($AW597="","",IF(INDEX(教室申込!$J$1:$J$212,$AW597)="","",INDEX(教室申込!$J$1:$J$212,$AW597)))</f>
        <v/>
      </c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" t="str">
        <f>IF(AND(ROW()-1&lt;=教室申込!$K$5,教室申込!$K$7=0,COUNTA(教室申込!$C$4)=1),INDEX(展開用!$B$2:$B$601,MATCH(ROW()-1,展開用!$E$2:$E$601,0)),"")</f>
        <v/>
      </c>
      <c r="AX597" s="1"/>
      <c r="AY597" s="1"/>
    </row>
    <row r="598" spans="1:51" ht="24" customHeight="1">
      <c r="A598" s="11"/>
      <c r="B598" s="11"/>
      <c r="C598" s="11"/>
      <c r="D598" s="11"/>
      <c r="E598" s="11"/>
      <c r="F598" s="11"/>
      <c r="G598" s="11"/>
      <c r="H598" s="11" t="str">
        <f>IF(AND(ROW()-1&lt;=教室申込!$K$5,教室申込!$K$7=0,COUNTA(教室申込!$C$4)=1),INDEX(展開用!$C$2:$C$601,MATCH(ROW()-1,展開用!$E$2:$E$601,0)),"")</f>
        <v/>
      </c>
      <c r="I598" s="11" t="str">
        <f>IF(AND(ROW()-1&lt;=教室申込!$K$5,教室申込!$K$7=0,COUNTA(教室申込!$C$4)=1),INDEX(展開用!$D$2:$D$601,MATCH(ROW()-1,展開用!$E$2:$E$601,0)),"")</f>
        <v/>
      </c>
      <c r="J598" s="11"/>
      <c r="K598" s="11"/>
      <c r="L598" s="11" t="str">
        <f>IF(AND(ROW()-1&lt;=教室申込!$K$5,教室申込!$K$7=0,COUNTA(教室申込!$C$4)=1),INDEX(教室申込!$B$1:$B$212,$AW598),"")</f>
        <v/>
      </c>
      <c r="M598" s="11" t="str">
        <f>IF(AND(ROW()-1&lt;=教室申込!$K$5,教室申込!$K$7=0,COUNTA(教室申込!$C$4)=1),INDEX(教室申込!$C$1:$C$212,$AW598),"")</f>
        <v/>
      </c>
      <c r="N598" s="11"/>
      <c r="O598" s="12" t="str">
        <f>IF(AND(ROW()-1&lt;=教室申込!$K$5,教室申込!$K$7=0,COUNTA(教室申込!$C$4)=1),INDEX(展開用!$G$2:$G$601,MATCH(ROW()-1,展開用!$E$2:$E$601,0)),"")</f>
        <v/>
      </c>
      <c r="P598" s="11"/>
      <c r="Q598" s="11"/>
      <c r="R598" s="11"/>
      <c r="S598" s="11"/>
      <c r="T598" s="11"/>
      <c r="U598" s="11" t="str">
        <f>IF(AND(ROW()-1&lt;=教室申込!$K$5,教室申込!$K$7=0,COUNTA(教室申込!$C$4)=1),INDEX(展開用!$F$2:$F$601,MATCH(ROW()-1,展開用!$E$2:$E$601,0)),"")</f>
        <v/>
      </c>
      <c r="V598" s="11"/>
      <c r="W598" s="11"/>
      <c r="X598" s="11"/>
      <c r="Y598" s="11"/>
      <c r="Z598" s="11"/>
      <c r="AA598" s="11" t="str">
        <f>IF($AW598="","",IF(INDEX(教室申込!$J$1:$J$212,$AW598)="","",INDEX(教室申込!$J$1:$J$212,$AW598)))</f>
        <v/>
      </c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" t="str">
        <f>IF(AND(ROW()-1&lt;=教室申込!$K$5,教室申込!$K$7=0,COUNTA(教室申込!$C$4)=1),INDEX(展開用!$B$2:$B$601,MATCH(ROW()-1,展開用!$E$2:$E$601,0)),"")</f>
        <v/>
      </c>
      <c r="AX598" s="1"/>
      <c r="AY598" s="1"/>
    </row>
    <row r="599" spans="1:51" ht="24" customHeight="1">
      <c r="A599" s="11"/>
      <c r="B599" s="11"/>
      <c r="C599" s="11"/>
      <c r="D599" s="11"/>
      <c r="E599" s="11"/>
      <c r="F599" s="11"/>
      <c r="G599" s="11"/>
      <c r="H599" s="11" t="str">
        <f>IF(AND(ROW()-1&lt;=教室申込!$K$5,教室申込!$K$7=0,COUNTA(教室申込!$C$4)=1),INDEX(展開用!$C$2:$C$601,MATCH(ROW()-1,展開用!$E$2:$E$601,0)),"")</f>
        <v/>
      </c>
      <c r="I599" s="11" t="str">
        <f>IF(AND(ROW()-1&lt;=教室申込!$K$5,教室申込!$K$7=0,COUNTA(教室申込!$C$4)=1),INDEX(展開用!$D$2:$D$601,MATCH(ROW()-1,展開用!$E$2:$E$601,0)),"")</f>
        <v/>
      </c>
      <c r="J599" s="11"/>
      <c r="K599" s="11"/>
      <c r="L599" s="11" t="str">
        <f>IF(AND(ROW()-1&lt;=教室申込!$K$5,教室申込!$K$7=0,COUNTA(教室申込!$C$4)=1),INDEX(教室申込!$B$1:$B$212,$AW599),"")</f>
        <v/>
      </c>
      <c r="M599" s="11" t="str">
        <f>IF(AND(ROW()-1&lt;=教室申込!$K$5,教室申込!$K$7=0,COUNTA(教室申込!$C$4)=1),INDEX(教室申込!$C$1:$C$212,$AW599),"")</f>
        <v/>
      </c>
      <c r="N599" s="11"/>
      <c r="O599" s="12" t="str">
        <f>IF(AND(ROW()-1&lt;=教室申込!$K$5,教室申込!$K$7=0,COUNTA(教室申込!$C$4)=1),INDEX(展開用!$G$2:$G$601,MATCH(ROW()-1,展開用!$E$2:$E$601,0)),"")</f>
        <v/>
      </c>
      <c r="P599" s="11"/>
      <c r="Q599" s="11"/>
      <c r="R599" s="11"/>
      <c r="S599" s="11"/>
      <c r="T599" s="11"/>
      <c r="U599" s="11" t="str">
        <f>IF(AND(ROW()-1&lt;=教室申込!$K$5,教室申込!$K$7=0,COUNTA(教室申込!$C$4)=1),INDEX(展開用!$F$2:$F$601,MATCH(ROW()-1,展開用!$E$2:$E$601,0)),"")</f>
        <v/>
      </c>
      <c r="V599" s="11"/>
      <c r="W599" s="11"/>
      <c r="X599" s="11"/>
      <c r="Y599" s="11"/>
      <c r="Z599" s="11"/>
      <c r="AA599" s="11" t="str">
        <f>IF($AW599="","",IF(INDEX(教室申込!$J$1:$J$212,$AW599)="","",INDEX(教室申込!$J$1:$J$212,$AW599)))</f>
        <v/>
      </c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" t="str">
        <f>IF(AND(ROW()-1&lt;=教室申込!$K$5,教室申込!$K$7=0,COUNTA(教室申込!$C$4)=1),INDEX(展開用!$B$2:$B$601,MATCH(ROW()-1,展開用!$E$2:$E$601,0)),"")</f>
        <v/>
      </c>
      <c r="AX599" s="1"/>
      <c r="AY599" s="1"/>
    </row>
    <row r="600" spans="1:51" ht="24" customHeight="1">
      <c r="A600" s="11"/>
      <c r="B600" s="11"/>
      <c r="C600" s="11"/>
      <c r="D600" s="11"/>
      <c r="E600" s="11"/>
      <c r="F600" s="11"/>
      <c r="G600" s="11"/>
      <c r="H600" s="11" t="str">
        <f>IF(AND(ROW()-1&lt;=教室申込!$K$5,教室申込!$K$7=0,COUNTA(教室申込!$C$4)=1),INDEX(展開用!$C$2:$C$601,MATCH(ROW()-1,展開用!$E$2:$E$601,0)),"")</f>
        <v/>
      </c>
      <c r="I600" s="11" t="str">
        <f>IF(AND(ROW()-1&lt;=教室申込!$K$5,教室申込!$K$7=0,COUNTA(教室申込!$C$4)=1),INDEX(展開用!$D$2:$D$601,MATCH(ROW()-1,展開用!$E$2:$E$601,0)),"")</f>
        <v/>
      </c>
      <c r="J600" s="11"/>
      <c r="K600" s="11"/>
      <c r="L600" s="11" t="str">
        <f>IF(AND(ROW()-1&lt;=教室申込!$K$5,教室申込!$K$7=0,COUNTA(教室申込!$C$4)=1),INDEX(教室申込!$B$1:$B$212,$AW600),"")</f>
        <v/>
      </c>
      <c r="M600" s="11" t="str">
        <f>IF(AND(ROW()-1&lt;=教室申込!$K$5,教室申込!$K$7=0,COUNTA(教室申込!$C$4)=1),INDEX(教室申込!$C$1:$C$212,$AW600),"")</f>
        <v/>
      </c>
      <c r="N600" s="11"/>
      <c r="O600" s="12" t="str">
        <f>IF(AND(ROW()-1&lt;=教室申込!$K$5,教室申込!$K$7=0,COUNTA(教室申込!$C$4)=1),INDEX(展開用!$G$2:$G$601,MATCH(ROW()-1,展開用!$E$2:$E$601,0)),"")</f>
        <v/>
      </c>
      <c r="P600" s="11"/>
      <c r="Q600" s="11"/>
      <c r="R600" s="11"/>
      <c r="S600" s="11"/>
      <c r="T600" s="11"/>
      <c r="U600" s="11" t="str">
        <f>IF(AND(ROW()-1&lt;=教室申込!$K$5,教室申込!$K$7=0,COUNTA(教室申込!$C$4)=1),INDEX(展開用!$F$2:$F$601,MATCH(ROW()-1,展開用!$E$2:$E$601,0)),"")</f>
        <v/>
      </c>
      <c r="V600" s="11"/>
      <c r="W600" s="11"/>
      <c r="X600" s="11"/>
      <c r="Y600" s="11"/>
      <c r="Z600" s="11"/>
      <c r="AA600" s="11" t="str">
        <f>IF($AW600="","",IF(INDEX(教室申込!$J$1:$J$212,$AW600)="","",INDEX(教室申込!$J$1:$J$212,$AW600)))</f>
        <v/>
      </c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" t="str">
        <f>IF(AND(ROW()-1&lt;=教室申込!$K$5,教室申込!$K$7=0,COUNTA(教室申込!$C$4)=1),INDEX(展開用!$B$2:$B$601,MATCH(ROW()-1,展開用!$E$2:$E$601,0)),"")</f>
        <v/>
      </c>
      <c r="AX600" s="1"/>
      <c r="AY600" s="1"/>
    </row>
    <row r="601" spans="1:51" ht="24" customHeight="1">
      <c r="A601" s="11"/>
      <c r="B601" s="11"/>
      <c r="C601" s="11"/>
      <c r="D601" s="11"/>
      <c r="E601" s="11"/>
      <c r="F601" s="11"/>
      <c r="G601" s="11"/>
      <c r="H601" s="11" t="str">
        <f>IF(AND(ROW()-1&lt;=教室申込!$K$5,教室申込!$K$7=0,COUNTA(教室申込!$C$4)=1),INDEX(展開用!$C$2:$C$601,MATCH(ROW()-1,展開用!$E$2:$E$601,0)),"")</f>
        <v/>
      </c>
      <c r="I601" s="11" t="str">
        <f>IF(AND(ROW()-1&lt;=教室申込!$K$5,教室申込!$K$7=0,COUNTA(教室申込!$C$4)=1),INDEX(展開用!$D$2:$D$601,MATCH(ROW()-1,展開用!$E$2:$E$601,0)),"")</f>
        <v/>
      </c>
      <c r="J601" s="11"/>
      <c r="K601" s="11"/>
      <c r="L601" s="11" t="str">
        <f>IF(AND(ROW()-1&lt;=教室申込!$K$5,教室申込!$K$7=0,COUNTA(教室申込!$C$4)=1),INDEX(教室申込!$B$1:$B$212,$AW601),"")</f>
        <v/>
      </c>
      <c r="M601" s="11" t="str">
        <f>IF(AND(ROW()-1&lt;=教室申込!$K$5,教室申込!$K$7=0,COUNTA(教室申込!$C$4)=1),INDEX(教室申込!$C$1:$C$212,$AW601),"")</f>
        <v/>
      </c>
      <c r="N601" s="11"/>
      <c r="O601" s="12" t="str">
        <f>IF(AND(ROW()-1&lt;=教室申込!$K$5,教室申込!$K$7=0,COUNTA(教室申込!$C$4)=1),INDEX(展開用!$G$2:$G$601,MATCH(ROW()-1,展開用!$E$2:$E$601,0)),"")</f>
        <v/>
      </c>
      <c r="P601" s="11"/>
      <c r="Q601" s="11"/>
      <c r="R601" s="11"/>
      <c r="S601" s="11"/>
      <c r="T601" s="11"/>
      <c r="U601" s="11" t="str">
        <f>IF(AND(ROW()-1&lt;=教室申込!$K$5,教室申込!$K$7=0,COUNTA(教室申込!$C$4)=1),INDEX(展開用!$F$2:$F$601,MATCH(ROW()-1,展開用!$E$2:$E$601,0)),"")</f>
        <v/>
      </c>
      <c r="V601" s="11"/>
      <c r="W601" s="11"/>
      <c r="X601" s="11"/>
      <c r="Y601" s="11"/>
      <c r="Z601" s="11"/>
      <c r="AA601" s="11" t="str">
        <f>IF($AW601="","",IF(INDEX(教室申込!$J$1:$J$212,$AW601)="","",INDEX(教室申込!$J$1:$J$212,$AW601)))</f>
        <v/>
      </c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" t="str">
        <f>IF(AND(ROW()-1&lt;=教室申込!$K$5,教室申込!$K$7=0,COUNTA(教室申込!$C$4)=1),INDEX(展開用!$B$2:$B$601,MATCH(ROW()-1,展開用!$E$2:$E$601,0)),"")</f>
        <v/>
      </c>
      <c r="AX601" s="1"/>
      <c r="AY601" s="1"/>
    </row>
  </sheetData>
  <sheetProtection password="9747" sheet="1" objects="1" scenarios="1"/>
  <phoneticPr fontId="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01"/>
  <sheetViews>
    <sheetView showGridLines="0" workbookViewId="0"/>
  </sheetViews>
  <sheetFormatPr defaultRowHeight="14.25"/>
  <sheetData>
    <row r="1" spans="1:12">
      <c r="A1" s="1" t="s">
        <v>97</v>
      </c>
      <c r="B1" s="1" t="s">
        <v>98</v>
      </c>
      <c r="C1" s="1" t="s">
        <v>59</v>
      </c>
      <c r="D1" s="1" t="s">
        <v>99</v>
      </c>
      <c r="E1" s="1" t="s">
        <v>100</v>
      </c>
      <c r="F1" s="1" t="s">
        <v>101</v>
      </c>
      <c r="G1" s="1" t="s">
        <v>102</v>
      </c>
      <c r="H1" s="1"/>
      <c r="I1" s="1"/>
      <c r="J1" s="1"/>
      <c r="K1" s="1"/>
      <c r="L1" s="1"/>
    </row>
    <row r="2" spans="1:12">
      <c r="A2" s="1">
        <f>1</f>
        <v>1</v>
      </c>
      <c r="B2" s="1">
        <f>13</f>
        <v>13</v>
      </c>
      <c r="C2" s="1" t="str">
        <f>"珠算"</f>
        <v>珠算</v>
      </c>
      <c r="D2" s="1" t="str">
        <f>IF(教室申込!F13="","",IFERROR(VALUE(教室申込!F13),""))</f>
        <v/>
      </c>
      <c r="E2" s="1" t="str">
        <f>IF(D2="","",COUNT($D$2:D2))</f>
        <v/>
      </c>
      <c r="F2" s="1" t="str">
        <f>IF(COUNTA(教室申込!$C$4)=0,"",教室申込!$C$4)</f>
        <v/>
      </c>
      <c r="G2" s="1" t="str">
        <f>IF(教室申込!D13="","",IFERROR(DATE(VALUE(LEFT(教室申込!D13,4)),VALUE(MID(教室申込!D13,6,FIND("/",教室申込!D13,6)-6)),VALUE(MID(教室申込!D13,FIND("/",教室申込!D13,6)+1,2))),""))</f>
        <v/>
      </c>
      <c r="H2" s="1"/>
      <c r="I2" s="1"/>
      <c r="J2" s="1"/>
      <c r="K2" s="1"/>
      <c r="L2" s="1"/>
    </row>
    <row r="3" spans="1:12">
      <c r="A3" s="1">
        <f>2</f>
        <v>2</v>
      </c>
      <c r="B3" s="1">
        <f>13</f>
        <v>13</v>
      </c>
      <c r="C3" s="1" t="str">
        <f>"暗算"</f>
        <v>暗算</v>
      </c>
      <c r="D3" s="1" t="str">
        <f>IF(教室申込!G13="","",IFERROR(VALUE(教室申込!G13),""))</f>
        <v/>
      </c>
      <c r="E3" s="1" t="str">
        <f>IF(D3="","",COUNT($D$2:D3))</f>
        <v/>
      </c>
      <c r="F3" s="1" t="str">
        <f>IF(COUNTA(教室申込!$C$4)=0,"",教室申込!$C$4)</f>
        <v/>
      </c>
      <c r="G3" s="1" t="str">
        <f>IF(教室申込!D13="","",IFERROR(DATE(VALUE(LEFT(教室申込!D13,4)),VALUE(MID(教室申込!D13,6,FIND("/",教室申込!D13,6)-6)),VALUE(MID(教室申込!D13,FIND("/",教室申込!D13,6)+1,2))),""))</f>
        <v/>
      </c>
      <c r="H3" s="1"/>
      <c r="I3" s="1"/>
      <c r="J3" s="1"/>
      <c r="K3" s="1"/>
      <c r="L3" s="1"/>
    </row>
    <row r="4" spans="1:12">
      <c r="A4" s="1">
        <f>3</f>
        <v>3</v>
      </c>
      <c r="B4" s="1">
        <f>13</f>
        <v>13</v>
      </c>
      <c r="C4" s="1" t="str">
        <f>"段位認定"</f>
        <v>段位認定</v>
      </c>
      <c r="D4" s="1" t="str">
        <f>IF(教室申込!H13="","",IFERROR(MATCH(教室申込!H13,料金表!$G$6:$G$8,0),""))</f>
        <v/>
      </c>
      <c r="E4" s="1" t="str">
        <f>IF(D4="","",COUNT($D$2:D4))</f>
        <v/>
      </c>
      <c r="F4" s="1" t="str">
        <f>IF(COUNTA(教室申込!$C$4)=0,"",教室申込!$C$4)</f>
        <v/>
      </c>
      <c r="G4" s="1" t="str">
        <f>IF(教室申込!D13="","",IFERROR(DATE(VALUE(LEFT(教室申込!D13,4)),VALUE(MID(教室申込!D13,6,FIND("/",教室申込!D13,6)-6)),VALUE(MID(教室申込!D13,FIND("/",教室申込!D13,6)+1,2))),""))</f>
        <v/>
      </c>
      <c r="H4" s="1"/>
      <c r="I4" s="1"/>
      <c r="J4" s="1"/>
      <c r="K4" s="1"/>
      <c r="L4" s="1"/>
    </row>
    <row r="5" spans="1:12">
      <c r="A5" s="1">
        <f>4</f>
        <v>4</v>
      </c>
      <c r="B5" s="1">
        <f>14</f>
        <v>14</v>
      </c>
      <c r="C5" s="1" t="str">
        <f>"珠算"</f>
        <v>珠算</v>
      </c>
      <c r="D5" s="1" t="str">
        <f>IF(教室申込!F14="","",IFERROR(VALUE(教室申込!F14),""))</f>
        <v/>
      </c>
      <c r="E5" s="1" t="str">
        <f>IF(D5="","",COUNT($D$2:D5))</f>
        <v/>
      </c>
      <c r="F5" s="1" t="str">
        <f>IF(COUNTA(教室申込!$C$4)=0,"",教室申込!$C$4)</f>
        <v/>
      </c>
      <c r="G5" s="1" t="str">
        <f>IF(教室申込!D14="","",IFERROR(DATE(VALUE(LEFT(教室申込!D14,4)),VALUE(MID(教室申込!D14,6,FIND("/",教室申込!D14,6)-6)),VALUE(MID(教室申込!D14,FIND("/",教室申込!D14,6)+1,2))),""))</f>
        <v/>
      </c>
      <c r="H5" s="1"/>
      <c r="I5" s="1"/>
      <c r="J5" s="1"/>
      <c r="K5" s="1"/>
      <c r="L5" s="1"/>
    </row>
    <row r="6" spans="1:12">
      <c r="A6" s="1">
        <f>5</f>
        <v>5</v>
      </c>
      <c r="B6" s="1">
        <f>14</f>
        <v>14</v>
      </c>
      <c r="C6" s="1" t="str">
        <f>"暗算"</f>
        <v>暗算</v>
      </c>
      <c r="D6" s="1" t="str">
        <f>IF(教室申込!G14="","",IFERROR(VALUE(教室申込!G14),""))</f>
        <v/>
      </c>
      <c r="E6" s="1" t="str">
        <f>IF(D6="","",COUNT($D$2:D6))</f>
        <v/>
      </c>
      <c r="F6" s="1" t="str">
        <f>IF(COUNTA(教室申込!$C$4)=0,"",教室申込!$C$4)</f>
        <v/>
      </c>
      <c r="G6" s="1" t="str">
        <f>IF(教室申込!D14="","",IFERROR(DATE(VALUE(LEFT(教室申込!D14,4)),VALUE(MID(教室申込!D14,6,FIND("/",教室申込!D14,6)-6)),VALUE(MID(教室申込!D14,FIND("/",教室申込!D14,6)+1,2))),""))</f>
        <v/>
      </c>
      <c r="H6" s="1"/>
      <c r="I6" s="1"/>
      <c r="J6" s="1"/>
      <c r="K6" s="1"/>
      <c r="L6" s="1"/>
    </row>
    <row r="7" spans="1:12">
      <c r="A7" s="1">
        <f>6</f>
        <v>6</v>
      </c>
      <c r="B7" s="1">
        <f>14</f>
        <v>14</v>
      </c>
      <c r="C7" s="1" t="str">
        <f>"段位認定"</f>
        <v>段位認定</v>
      </c>
      <c r="D7" s="1" t="str">
        <f>IF(教室申込!H14="","",IFERROR(MATCH(教室申込!H14,料金表!$G$6:$G$8,0),""))</f>
        <v/>
      </c>
      <c r="E7" s="1" t="str">
        <f>IF(D7="","",COUNT($D$2:D7))</f>
        <v/>
      </c>
      <c r="F7" s="1" t="str">
        <f>IF(COUNTA(教室申込!$C$4)=0,"",教室申込!$C$4)</f>
        <v/>
      </c>
      <c r="G7" s="1" t="str">
        <f>IF(教室申込!D14="","",IFERROR(DATE(VALUE(LEFT(教室申込!D14,4)),VALUE(MID(教室申込!D14,6,FIND("/",教室申込!D14,6)-6)),VALUE(MID(教室申込!D14,FIND("/",教室申込!D14,6)+1,2))),""))</f>
        <v/>
      </c>
      <c r="H7" s="1"/>
      <c r="I7" s="1"/>
      <c r="J7" s="1"/>
      <c r="K7" s="1"/>
      <c r="L7" s="1"/>
    </row>
    <row r="8" spans="1:12">
      <c r="A8" s="1">
        <f>7</f>
        <v>7</v>
      </c>
      <c r="B8" s="1">
        <f>15</f>
        <v>15</v>
      </c>
      <c r="C8" s="1" t="str">
        <f>"珠算"</f>
        <v>珠算</v>
      </c>
      <c r="D8" s="1" t="str">
        <f>IF(教室申込!F15="","",IFERROR(VALUE(教室申込!F15),""))</f>
        <v/>
      </c>
      <c r="E8" s="1" t="str">
        <f>IF(D8="","",COUNT($D$2:D8))</f>
        <v/>
      </c>
      <c r="F8" s="1" t="str">
        <f>IF(COUNTA(教室申込!$C$4)=0,"",教室申込!$C$4)</f>
        <v/>
      </c>
      <c r="G8" s="1" t="str">
        <f>IF(教室申込!D15="","",IFERROR(DATE(VALUE(LEFT(教室申込!D15,4)),VALUE(MID(教室申込!D15,6,FIND("/",教室申込!D15,6)-6)),VALUE(MID(教室申込!D15,FIND("/",教室申込!D15,6)+1,2))),""))</f>
        <v/>
      </c>
      <c r="H8" s="1"/>
      <c r="I8" s="1"/>
      <c r="J8" s="1"/>
      <c r="K8" s="1"/>
      <c r="L8" s="1"/>
    </row>
    <row r="9" spans="1:12">
      <c r="A9" s="1">
        <f>8</f>
        <v>8</v>
      </c>
      <c r="B9" s="1">
        <f>15</f>
        <v>15</v>
      </c>
      <c r="C9" s="1" t="str">
        <f>"暗算"</f>
        <v>暗算</v>
      </c>
      <c r="D9" s="1" t="str">
        <f>IF(教室申込!G15="","",IFERROR(VALUE(教室申込!G15),""))</f>
        <v/>
      </c>
      <c r="E9" s="1" t="str">
        <f>IF(D9="","",COUNT($D$2:D9))</f>
        <v/>
      </c>
      <c r="F9" s="1" t="str">
        <f>IF(COUNTA(教室申込!$C$4)=0,"",教室申込!$C$4)</f>
        <v/>
      </c>
      <c r="G9" s="1" t="str">
        <f>IF(教室申込!D15="","",IFERROR(DATE(VALUE(LEFT(教室申込!D15,4)),VALUE(MID(教室申込!D15,6,FIND("/",教室申込!D15,6)-6)),VALUE(MID(教室申込!D15,FIND("/",教室申込!D15,6)+1,2))),""))</f>
        <v/>
      </c>
      <c r="H9" s="1"/>
      <c r="I9" s="1"/>
      <c r="J9" s="1"/>
      <c r="K9" s="1"/>
      <c r="L9" s="1"/>
    </row>
    <row r="10" spans="1:12">
      <c r="A10" s="1">
        <f>9</f>
        <v>9</v>
      </c>
      <c r="B10" s="1">
        <f>15</f>
        <v>15</v>
      </c>
      <c r="C10" s="1" t="str">
        <f>"段位認定"</f>
        <v>段位認定</v>
      </c>
      <c r="D10" s="1" t="str">
        <f>IF(教室申込!H15="","",IFERROR(MATCH(教室申込!H15,料金表!$G$6:$G$8,0),""))</f>
        <v/>
      </c>
      <c r="E10" s="1" t="str">
        <f>IF(D10="","",COUNT($D$2:D10))</f>
        <v/>
      </c>
      <c r="F10" s="1" t="str">
        <f>IF(COUNTA(教室申込!$C$4)=0,"",教室申込!$C$4)</f>
        <v/>
      </c>
      <c r="G10" s="1" t="str">
        <f>IF(教室申込!D15="","",IFERROR(DATE(VALUE(LEFT(教室申込!D15,4)),VALUE(MID(教室申込!D15,6,FIND("/",教室申込!D15,6)-6)),VALUE(MID(教室申込!D15,FIND("/",教室申込!D15,6)+1,2))),""))</f>
        <v/>
      </c>
      <c r="H10" s="1"/>
      <c r="I10" s="1"/>
      <c r="J10" s="1"/>
      <c r="K10" s="1"/>
      <c r="L10" s="1"/>
    </row>
    <row r="11" spans="1:12">
      <c r="A11" s="1">
        <f>10</f>
        <v>10</v>
      </c>
      <c r="B11" s="1">
        <f>16</f>
        <v>16</v>
      </c>
      <c r="C11" s="1" t="str">
        <f>"珠算"</f>
        <v>珠算</v>
      </c>
      <c r="D11" s="1" t="str">
        <f>IF(教室申込!F16="","",IFERROR(VALUE(教室申込!F16),""))</f>
        <v/>
      </c>
      <c r="E11" s="1" t="str">
        <f>IF(D11="","",COUNT($D$2:D11))</f>
        <v/>
      </c>
      <c r="F11" s="1" t="str">
        <f>IF(COUNTA(教室申込!$C$4)=0,"",教室申込!$C$4)</f>
        <v/>
      </c>
      <c r="G11" s="1" t="str">
        <f>IF(教室申込!D16="","",IFERROR(DATE(VALUE(LEFT(教室申込!D16,4)),VALUE(MID(教室申込!D16,6,FIND("/",教室申込!D16,6)-6)),VALUE(MID(教室申込!D16,FIND("/",教室申込!D16,6)+1,2))),""))</f>
        <v/>
      </c>
      <c r="H11" s="1"/>
      <c r="I11" s="1"/>
      <c r="J11" s="1"/>
      <c r="K11" s="1"/>
      <c r="L11" s="1"/>
    </row>
    <row r="12" spans="1:12">
      <c r="A12" s="1">
        <f>11</f>
        <v>11</v>
      </c>
      <c r="B12" s="1">
        <f>16</f>
        <v>16</v>
      </c>
      <c r="C12" s="1" t="str">
        <f>"暗算"</f>
        <v>暗算</v>
      </c>
      <c r="D12" s="1" t="str">
        <f>IF(教室申込!G16="","",IFERROR(VALUE(教室申込!G16),""))</f>
        <v/>
      </c>
      <c r="E12" s="1" t="str">
        <f>IF(D12="","",COUNT($D$2:D12))</f>
        <v/>
      </c>
      <c r="F12" s="1" t="str">
        <f>IF(COUNTA(教室申込!$C$4)=0,"",教室申込!$C$4)</f>
        <v/>
      </c>
      <c r="G12" s="1" t="str">
        <f>IF(教室申込!D16="","",IFERROR(DATE(VALUE(LEFT(教室申込!D16,4)),VALUE(MID(教室申込!D16,6,FIND("/",教室申込!D16,6)-6)),VALUE(MID(教室申込!D16,FIND("/",教室申込!D16,6)+1,2))),""))</f>
        <v/>
      </c>
      <c r="H12" s="1"/>
      <c r="I12" s="1"/>
      <c r="J12" s="1"/>
      <c r="K12" s="1"/>
      <c r="L12" s="1"/>
    </row>
    <row r="13" spans="1:12">
      <c r="A13" s="1">
        <f>12</f>
        <v>12</v>
      </c>
      <c r="B13" s="1">
        <f>16</f>
        <v>16</v>
      </c>
      <c r="C13" s="1" t="str">
        <f>"段位認定"</f>
        <v>段位認定</v>
      </c>
      <c r="D13" s="1" t="str">
        <f>IF(教室申込!H16="","",IFERROR(MATCH(教室申込!H16,料金表!$G$6:$G$8,0),""))</f>
        <v/>
      </c>
      <c r="E13" s="1" t="str">
        <f>IF(D13="","",COUNT($D$2:D13))</f>
        <v/>
      </c>
      <c r="F13" s="1" t="str">
        <f>IF(COUNTA(教室申込!$C$4)=0,"",教室申込!$C$4)</f>
        <v/>
      </c>
      <c r="G13" s="1" t="str">
        <f>IF(教室申込!D16="","",IFERROR(DATE(VALUE(LEFT(教室申込!D16,4)),VALUE(MID(教室申込!D16,6,FIND("/",教室申込!D16,6)-6)),VALUE(MID(教室申込!D16,FIND("/",教室申込!D16,6)+1,2))),""))</f>
        <v/>
      </c>
      <c r="H13" s="1"/>
      <c r="I13" s="1"/>
      <c r="J13" s="1"/>
      <c r="K13" s="1"/>
      <c r="L13" s="1"/>
    </row>
    <row r="14" spans="1:12">
      <c r="A14" s="1">
        <f>13</f>
        <v>13</v>
      </c>
      <c r="B14" s="1">
        <f>17</f>
        <v>17</v>
      </c>
      <c r="C14" s="1" t="str">
        <f>"珠算"</f>
        <v>珠算</v>
      </c>
      <c r="D14" s="1" t="str">
        <f>IF(教室申込!F17="","",IFERROR(VALUE(教室申込!F17),""))</f>
        <v/>
      </c>
      <c r="E14" s="1" t="str">
        <f>IF(D14="","",COUNT($D$2:D14))</f>
        <v/>
      </c>
      <c r="F14" s="1" t="str">
        <f>IF(COUNTA(教室申込!$C$4)=0,"",教室申込!$C$4)</f>
        <v/>
      </c>
      <c r="G14" s="1" t="str">
        <f>IF(教室申込!D17="","",IFERROR(DATE(VALUE(LEFT(教室申込!D17,4)),VALUE(MID(教室申込!D17,6,FIND("/",教室申込!D17,6)-6)),VALUE(MID(教室申込!D17,FIND("/",教室申込!D17,6)+1,2))),""))</f>
        <v/>
      </c>
      <c r="H14" s="1"/>
      <c r="I14" s="1"/>
      <c r="J14" s="1"/>
      <c r="K14" s="1"/>
      <c r="L14" s="1"/>
    </row>
    <row r="15" spans="1:12">
      <c r="A15" s="1">
        <f>14</f>
        <v>14</v>
      </c>
      <c r="B15" s="1">
        <f>17</f>
        <v>17</v>
      </c>
      <c r="C15" s="1" t="str">
        <f>"暗算"</f>
        <v>暗算</v>
      </c>
      <c r="D15" s="1" t="str">
        <f>IF(教室申込!G17="","",IFERROR(VALUE(教室申込!G17),""))</f>
        <v/>
      </c>
      <c r="E15" s="1" t="str">
        <f>IF(D15="","",COUNT($D$2:D15))</f>
        <v/>
      </c>
      <c r="F15" s="1" t="str">
        <f>IF(COUNTA(教室申込!$C$4)=0,"",教室申込!$C$4)</f>
        <v/>
      </c>
      <c r="G15" s="1" t="str">
        <f>IF(教室申込!D17="","",IFERROR(DATE(VALUE(LEFT(教室申込!D17,4)),VALUE(MID(教室申込!D17,6,FIND("/",教室申込!D17,6)-6)),VALUE(MID(教室申込!D17,FIND("/",教室申込!D17,6)+1,2))),""))</f>
        <v/>
      </c>
      <c r="H15" s="1"/>
      <c r="I15" s="1"/>
      <c r="J15" s="1"/>
      <c r="K15" s="1"/>
      <c r="L15" s="1"/>
    </row>
    <row r="16" spans="1:12">
      <c r="A16" s="1">
        <f>15</f>
        <v>15</v>
      </c>
      <c r="B16" s="1">
        <f>17</f>
        <v>17</v>
      </c>
      <c r="C16" s="1" t="str">
        <f>"段位認定"</f>
        <v>段位認定</v>
      </c>
      <c r="D16" s="1" t="str">
        <f>IF(教室申込!H17="","",IFERROR(MATCH(教室申込!H17,料金表!$G$6:$G$8,0),""))</f>
        <v/>
      </c>
      <c r="E16" s="1" t="str">
        <f>IF(D16="","",COUNT($D$2:D16))</f>
        <v/>
      </c>
      <c r="F16" s="1" t="str">
        <f>IF(COUNTA(教室申込!$C$4)=0,"",教室申込!$C$4)</f>
        <v/>
      </c>
      <c r="G16" s="1" t="str">
        <f>IF(教室申込!D17="","",IFERROR(DATE(VALUE(LEFT(教室申込!D17,4)),VALUE(MID(教室申込!D17,6,FIND("/",教室申込!D17,6)-6)),VALUE(MID(教室申込!D17,FIND("/",教室申込!D17,6)+1,2))),""))</f>
        <v/>
      </c>
      <c r="H16" s="1"/>
      <c r="I16" s="1"/>
      <c r="J16" s="1"/>
      <c r="K16" s="1"/>
      <c r="L16" s="1"/>
    </row>
    <row r="17" spans="1:12">
      <c r="A17" s="1">
        <f>16</f>
        <v>16</v>
      </c>
      <c r="B17" s="1">
        <f>18</f>
        <v>18</v>
      </c>
      <c r="C17" s="1" t="str">
        <f>"珠算"</f>
        <v>珠算</v>
      </c>
      <c r="D17" s="1" t="str">
        <f>IF(教室申込!F18="","",IFERROR(VALUE(教室申込!F18),""))</f>
        <v/>
      </c>
      <c r="E17" s="1" t="str">
        <f>IF(D17="","",COUNT($D$2:D17))</f>
        <v/>
      </c>
      <c r="F17" s="1" t="str">
        <f>IF(COUNTA(教室申込!$C$4)=0,"",教室申込!$C$4)</f>
        <v/>
      </c>
      <c r="G17" s="1" t="str">
        <f>IF(教室申込!D18="","",IFERROR(DATE(VALUE(LEFT(教室申込!D18,4)),VALUE(MID(教室申込!D18,6,FIND("/",教室申込!D18,6)-6)),VALUE(MID(教室申込!D18,FIND("/",教室申込!D18,6)+1,2))),""))</f>
        <v/>
      </c>
      <c r="H17" s="1"/>
      <c r="I17" s="1"/>
      <c r="J17" s="1"/>
      <c r="K17" s="1"/>
      <c r="L17" s="1"/>
    </row>
    <row r="18" spans="1:12">
      <c r="A18" s="1">
        <f>17</f>
        <v>17</v>
      </c>
      <c r="B18" s="1">
        <f>18</f>
        <v>18</v>
      </c>
      <c r="C18" s="1" t="str">
        <f>"暗算"</f>
        <v>暗算</v>
      </c>
      <c r="D18" s="1" t="str">
        <f>IF(教室申込!G18="","",IFERROR(VALUE(教室申込!G18),""))</f>
        <v/>
      </c>
      <c r="E18" s="1" t="str">
        <f>IF(D18="","",COUNT($D$2:D18))</f>
        <v/>
      </c>
      <c r="F18" s="1" t="str">
        <f>IF(COUNTA(教室申込!$C$4)=0,"",教室申込!$C$4)</f>
        <v/>
      </c>
      <c r="G18" s="1" t="str">
        <f>IF(教室申込!D18="","",IFERROR(DATE(VALUE(LEFT(教室申込!D18,4)),VALUE(MID(教室申込!D18,6,FIND("/",教室申込!D18,6)-6)),VALUE(MID(教室申込!D18,FIND("/",教室申込!D18,6)+1,2))),""))</f>
        <v/>
      </c>
      <c r="H18" s="1"/>
      <c r="I18" s="1"/>
      <c r="J18" s="1"/>
      <c r="K18" s="1"/>
      <c r="L18" s="1"/>
    </row>
    <row r="19" spans="1:12">
      <c r="A19" s="1">
        <f>18</f>
        <v>18</v>
      </c>
      <c r="B19" s="1">
        <f>18</f>
        <v>18</v>
      </c>
      <c r="C19" s="1" t="str">
        <f>"段位認定"</f>
        <v>段位認定</v>
      </c>
      <c r="D19" s="1" t="str">
        <f>IF(教室申込!H18="","",IFERROR(MATCH(教室申込!H18,料金表!$G$6:$G$8,0),""))</f>
        <v/>
      </c>
      <c r="E19" s="1" t="str">
        <f>IF(D19="","",COUNT($D$2:D19))</f>
        <v/>
      </c>
      <c r="F19" s="1" t="str">
        <f>IF(COUNTA(教室申込!$C$4)=0,"",教室申込!$C$4)</f>
        <v/>
      </c>
      <c r="G19" s="1" t="str">
        <f>IF(教室申込!D18="","",IFERROR(DATE(VALUE(LEFT(教室申込!D18,4)),VALUE(MID(教室申込!D18,6,FIND("/",教室申込!D18,6)-6)),VALUE(MID(教室申込!D18,FIND("/",教室申込!D18,6)+1,2))),""))</f>
        <v/>
      </c>
      <c r="H19" s="1"/>
      <c r="I19" s="1"/>
      <c r="J19" s="1"/>
      <c r="K19" s="1"/>
      <c r="L19" s="1"/>
    </row>
    <row r="20" spans="1:12">
      <c r="A20" s="1">
        <f>19</f>
        <v>19</v>
      </c>
      <c r="B20" s="1">
        <f>19</f>
        <v>19</v>
      </c>
      <c r="C20" s="1" t="str">
        <f>"珠算"</f>
        <v>珠算</v>
      </c>
      <c r="D20" s="1" t="str">
        <f>IF(教室申込!F19="","",IFERROR(VALUE(教室申込!F19),""))</f>
        <v/>
      </c>
      <c r="E20" s="1" t="str">
        <f>IF(D20="","",COUNT($D$2:D20))</f>
        <v/>
      </c>
      <c r="F20" s="1" t="str">
        <f>IF(COUNTA(教室申込!$C$4)=0,"",教室申込!$C$4)</f>
        <v/>
      </c>
      <c r="G20" s="1" t="str">
        <f>IF(教室申込!D19="","",IFERROR(DATE(VALUE(LEFT(教室申込!D19,4)),VALUE(MID(教室申込!D19,6,FIND("/",教室申込!D19,6)-6)),VALUE(MID(教室申込!D19,FIND("/",教室申込!D19,6)+1,2))),""))</f>
        <v/>
      </c>
      <c r="H20" s="1"/>
      <c r="I20" s="1"/>
      <c r="J20" s="1"/>
      <c r="K20" s="1"/>
      <c r="L20" s="1"/>
    </row>
    <row r="21" spans="1:12">
      <c r="A21" s="1">
        <f>20</f>
        <v>20</v>
      </c>
      <c r="B21" s="1">
        <f>19</f>
        <v>19</v>
      </c>
      <c r="C21" s="1" t="str">
        <f>"暗算"</f>
        <v>暗算</v>
      </c>
      <c r="D21" s="1" t="str">
        <f>IF(教室申込!G19="","",IFERROR(VALUE(教室申込!G19),""))</f>
        <v/>
      </c>
      <c r="E21" s="1" t="str">
        <f>IF(D21="","",COUNT($D$2:D21))</f>
        <v/>
      </c>
      <c r="F21" s="1" t="str">
        <f>IF(COUNTA(教室申込!$C$4)=0,"",教室申込!$C$4)</f>
        <v/>
      </c>
      <c r="G21" s="1" t="str">
        <f>IF(教室申込!D19="","",IFERROR(DATE(VALUE(LEFT(教室申込!D19,4)),VALUE(MID(教室申込!D19,6,FIND("/",教室申込!D19,6)-6)),VALUE(MID(教室申込!D19,FIND("/",教室申込!D19,6)+1,2))),""))</f>
        <v/>
      </c>
      <c r="H21" s="1"/>
      <c r="I21" s="1"/>
      <c r="J21" s="1"/>
      <c r="K21" s="1"/>
      <c r="L21" s="1"/>
    </row>
    <row r="22" spans="1:12">
      <c r="A22" s="1">
        <f>21</f>
        <v>21</v>
      </c>
      <c r="B22" s="1">
        <f>19</f>
        <v>19</v>
      </c>
      <c r="C22" s="1" t="str">
        <f>"段位認定"</f>
        <v>段位認定</v>
      </c>
      <c r="D22" s="1" t="str">
        <f>IF(教室申込!H19="","",IFERROR(MATCH(教室申込!H19,料金表!$G$6:$G$8,0),""))</f>
        <v/>
      </c>
      <c r="E22" s="1" t="str">
        <f>IF(D22="","",COUNT($D$2:D22))</f>
        <v/>
      </c>
      <c r="F22" s="1" t="str">
        <f>IF(COUNTA(教室申込!$C$4)=0,"",教室申込!$C$4)</f>
        <v/>
      </c>
      <c r="G22" s="1" t="str">
        <f>IF(教室申込!D19="","",IFERROR(DATE(VALUE(LEFT(教室申込!D19,4)),VALUE(MID(教室申込!D19,6,FIND("/",教室申込!D19,6)-6)),VALUE(MID(教室申込!D19,FIND("/",教室申込!D19,6)+1,2))),""))</f>
        <v/>
      </c>
      <c r="H22" s="1"/>
      <c r="I22" s="1"/>
      <c r="J22" s="1"/>
      <c r="K22" s="1"/>
      <c r="L22" s="1"/>
    </row>
    <row r="23" spans="1:12">
      <c r="A23" s="1">
        <f>22</f>
        <v>22</v>
      </c>
      <c r="B23" s="1">
        <f>20</f>
        <v>20</v>
      </c>
      <c r="C23" s="1" t="str">
        <f>"珠算"</f>
        <v>珠算</v>
      </c>
      <c r="D23" s="1" t="str">
        <f>IF(教室申込!F20="","",IFERROR(VALUE(教室申込!F20),""))</f>
        <v/>
      </c>
      <c r="E23" s="1" t="str">
        <f>IF(D23="","",COUNT($D$2:D23))</f>
        <v/>
      </c>
      <c r="F23" s="1" t="str">
        <f>IF(COUNTA(教室申込!$C$4)=0,"",教室申込!$C$4)</f>
        <v/>
      </c>
      <c r="G23" s="1" t="str">
        <f>IF(教室申込!D20="","",IFERROR(DATE(VALUE(LEFT(教室申込!D20,4)),VALUE(MID(教室申込!D20,6,FIND("/",教室申込!D20,6)-6)),VALUE(MID(教室申込!D20,FIND("/",教室申込!D20,6)+1,2))),""))</f>
        <v/>
      </c>
      <c r="H23" s="1"/>
      <c r="I23" s="1"/>
      <c r="J23" s="1"/>
      <c r="K23" s="1"/>
      <c r="L23" s="1"/>
    </row>
    <row r="24" spans="1:12">
      <c r="A24" s="1">
        <f>23</f>
        <v>23</v>
      </c>
      <c r="B24" s="1">
        <f>20</f>
        <v>20</v>
      </c>
      <c r="C24" s="1" t="str">
        <f>"暗算"</f>
        <v>暗算</v>
      </c>
      <c r="D24" s="1" t="str">
        <f>IF(教室申込!G20="","",IFERROR(VALUE(教室申込!G20),""))</f>
        <v/>
      </c>
      <c r="E24" s="1" t="str">
        <f>IF(D24="","",COUNT($D$2:D24))</f>
        <v/>
      </c>
      <c r="F24" s="1" t="str">
        <f>IF(COUNTA(教室申込!$C$4)=0,"",教室申込!$C$4)</f>
        <v/>
      </c>
      <c r="G24" s="1" t="str">
        <f>IF(教室申込!D20="","",IFERROR(DATE(VALUE(LEFT(教室申込!D20,4)),VALUE(MID(教室申込!D20,6,FIND("/",教室申込!D20,6)-6)),VALUE(MID(教室申込!D20,FIND("/",教室申込!D20,6)+1,2))),""))</f>
        <v/>
      </c>
      <c r="H24" s="1"/>
      <c r="I24" s="1"/>
      <c r="J24" s="1"/>
      <c r="K24" s="1"/>
      <c r="L24" s="1"/>
    </row>
    <row r="25" spans="1:12">
      <c r="A25" s="1">
        <f>24</f>
        <v>24</v>
      </c>
      <c r="B25" s="1">
        <f>20</f>
        <v>20</v>
      </c>
      <c r="C25" s="1" t="str">
        <f>"段位認定"</f>
        <v>段位認定</v>
      </c>
      <c r="D25" s="1" t="str">
        <f>IF(教室申込!H20="","",IFERROR(MATCH(教室申込!H20,料金表!$G$6:$G$8,0),""))</f>
        <v/>
      </c>
      <c r="E25" s="1" t="str">
        <f>IF(D25="","",COUNT($D$2:D25))</f>
        <v/>
      </c>
      <c r="F25" s="1" t="str">
        <f>IF(COUNTA(教室申込!$C$4)=0,"",教室申込!$C$4)</f>
        <v/>
      </c>
      <c r="G25" s="1" t="str">
        <f>IF(教室申込!D20="","",IFERROR(DATE(VALUE(LEFT(教室申込!D20,4)),VALUE(MID(教室申込!D20,6,FIND("/",教室申込!D20,6)-6)),VALUE(MID(教室申込!D20,FIND("/",教室申込!D20,6)+1,2))),""))</f>
        <v/>
      </c>
      <c r="H25" s="1"/>
      <c r="I25" s="1"/>
      <c r="J25" s="1"/>
      <c r="K25" s="1"/>
      <c r="L25" s="1"/>
    </row>
    <row r="26" spans="1:12">
      <c r="A26" s="1">
        <f>25</f>
        <v>25</v>
      </c>
      <c r="B26" s="1">
        <f>21</f>
        <v>21</v>
      </c>
      <c r="C26" s="1" t="str">
        <f>"珠算"</f>
        <v>珠算</v>
      </c>
      <c r="D26" s="1" t="str">
        <f>IF(教室申込!F21="","",IFERROR(VALUE(教室申込!F21),""))</f>
        <v/>
      </c>
      <c r="E26" s="1" t="str">
        <f>IF(D26="","",COUNT($D$2:D26))</f>
        <v/>
      </c>
      <c r="F26" s="1" t="str">
        <f>IF(COUNTA(教室申込!$C$4)=0,"",教室申込!$C$4)</f>
        <v/>
      </c>
      <c r="G26" s="1" t="str">
        <f>IF(教室申込!D21="","",IFERROR(DATE(VALUE(LEFT(教室申込!D21,4)),VALUE(MID(教室申込!D21,6,FIND("/",教室申込!D21,6)-6)),VALUE(MID(教室申込!D21,FIND("/",教室申込!D21,6)+1,2))),""))</f>
        <v/>
      </c>
      <c r="H26" s="1"/>
      <c r="I26" s="1"/>
      <c r="J26" s="1"/>
      <c r="K26" s="1"/>
      <c r="L26" s="1"/>
    </row>
    <row r="27" spans="1:12">
      <c r="A27" s="1">
        <f>26</f>
        <v>26</v>
      </c>
      <c r="B27" s="1">
        <f>21</f>
        <v>21</v>
      </c>
      <c r="C27" s="1" t="str">
        <f>"暗算"</f>
        <v>暗算</v>
      </c>
      <c r="D27" s="1" t="str">
        <f>IF(教室申込!G21="","",IFERROR(VALUE(教室申込!G21),""))</f>
        <v/>
      </c>
      <c r="E27" s="1" t="str">
        <f>IF(D27="","",COUNT($D$2:D27))</f>
        <v/>
      </c>
      <c r="F27" s="1" t="str">
        <f>IF(COUNTA(教室申込!$C$4)=0,"",教室申込!$C$4)</f>
        <v/>
      </c>
      <c r="G27" s="1" t="str">
        <f>IF(教室申込!D21="","",IFERROR(DATE(VALUE(LEFT(教室申込!D21,4)),VALUE(MID(教室申込!D21,6,FIND("/",教室申込!D21,6)-6)),VALUE(MID(教室申込!D21,FIND("/",教室申込!D21,6)+1,2))),""))</f>
        <v/>
      </c>
      <c r="H27" s="1"/>
      <c r="I27" s="1"/>
      <c r="J27" s="1"/>
      <c r="K27" s="1"/>
      <c r="L27" s="1"/>
    </row>
    <row r="28" spans="1:12">
      <c r="A28" s="1">
        <f>27</f>
        <v>27</v>
      </c>
      <c r="B28" s="1">
        <f>21</f>
        <v>21</v>
      </c>
      <c r="C28" s="1" t="str">
        <f>"段位認定"</f>
        <v>段位認定</v>
      </c>
      <c r="D28" s="1" t="str">
        <f>IF(教室申込!H21="","",IFERROR(MATCH(教室申込!H21,料金表!$G$6:$G$8,0),""))</f>
        <v/>
      </c>
      <c r="E28" s="1" t="str">
        <f>IF(D28="","",COUNT($D$2:D28))</f>
        <v/>
      </c>
      <c r="F28" s="1" t="str">
        <f>IF(COUNTA(教室申込!$C$4)=0,"",教室申込!$C$4)</f>
        <v/>
      </c>
      <c r="G28" s="1" t="str">
        <f>IF(教室申込!D21="","",IFERROR(DATE(VALUE(LEFT(教室申込!D21,4)),VALUE(MID(教室申込!D21,6,FIND("/",教室申込!D21,6)-6)),VALUE(MID(教室申込!D21,FIND("/",教室申込!D21,6)+1,2))),""))</f>
        <v/>
      </c>
      <c r="H28" s="1"/>
      <c r="I28" s="1"/>
      <c r="J28" s="1"/>
      <c r="K28" s="1"/>
      <c r="L28" s="1"/>
    </row>
    <row r="29" spans="1:12">
      <c r="A29" s="1">
        <f>28</f>
        <v>28</v>
      </c>
      <c r="B29" s="1">
        <f>22</f>
        <v>22</v>
      </c>
      <c r="C29" s="1" t="str">
        <f>"珠算"</f>
        <v>珠算</v>
      </c>
      <c r="D29" s="1" t="str">
        <f>IF(教室申込!F22="","",IFERROR(VALUE(教室申込!F22),""))</f>
        <v/>
      </c>
      <c r="E29" s="1" t="str">
        <f>IF(D29="","",COUNT($D$2:D29))</f>
        <v/>
      </c>
      <c r="F29" s="1" t="str">
        <f>IF(COUNTA(教室申込!$C$4)=0,"",教室申込!$C$4)</f>
        <v/>
      </c>
      <c r="G29" s="1" t="str">
        <f>IF(教室申込!D22="","",IFERROR(DATE(VALUE(LEFT(教室申込!D22,4)),VALUE(MID(教室申込!D22,6,FIND("/",教室申込!D22,6)-6)),VALUE(MID(教室申込!D22,FIND("/",教室申込!D22,6)+1,2))),""))</f>
        <v/>
      </c>
      <c r="H29" s="1"/>
      <c r="I29" s="1"/>
      <c r="J29" s="1"/>
      <c r="K29" s="1"/>
      <c r="L29" s="1"/>
    </row>
    <row r="30" spans="1:12">
      <c r="A30" s="1">
        <f>29</f>
        <v>29</v>
      </c>
      <c r="B30" s="1">
        <f>22</f>
        <v>22</v>
      </c>
      <c r="C30" s="1" t="str">
        <f>"暗算"</f>
        <v>暗算</v>
      </c>
      <c r="D30" s="1" t="str">
        <f>IF(教室申込!G22="","",IFERROR(VALUE(教室申込!G22),""))</f>
        <v/>
      </c>
      <c r="E30" s="1" t="str">
        <f>IF(D30="","",COUNT($D$2:D30))</f>
        <v/>
      </c>
      <c r="F30" s="1" t="str">
        <f>IF(COUNTA(教室申込!$C$4)=0,"",教室申込!$C$4)</f>
        <v/>
      </c>
      <c r="G30" s="1" t="str">
        <f>IF(教室申込!D22="","",IFERROR(DATE(VALUE(LEFT(教室申込!D22,4)),VALUE(MID(教室申込!D22,6,FIND("/",教室申込!D22,6)-6)),VALUE(MID(教室申込!D22,FIND("/",教室申込!D22,6)+1,2))),""))</f>
        <v/>
      </c>
      <c r="H30" s="1"/>
      <c r="I30" s="1"/>
      <c r="J30" s="1"/>
      <c r="K30" s="1"/>
      <c r="L30" s="1"/>
    </row>
    <row r="31" spans="1:12">
      <c r="A31" s="1">
        <f>30</f>
        <v>30</v>
      </c>
      <c r="B31" s="1">
        <f>22</f>
        <v>22</v>
      </c>
      <c r="C31" s="1" t="str">
        <f>"段位認定"</f>
        <v>段位認定</v>
      </c>
      <c r="D31" s="1" t="str">
        <f>IF(教室申込!H22="","",IFERROR(MATCH(教室申込!H22,料金表!$G$6:$G$8,0),""))</f>
        <v/>
      </c>
      <c r="E31" s="1" t="str">
        <f>IF(D31="","",COUNT($D$2:D31))</f>
        <v/>
      </c>
      <c r="F31" s="1" t="str">
        <f>IF(COUNTA(教室申込!$C$4)=0,"",教室申込!$C$4)</f>
        <v/>
      </c>
      <c r="G31" s="1" t="str">
        <f>IF(教室申込!D22="","",IFERROR(DATE(VALUE(LEFT(教室申込!D22,4)),VALUE(MID(教室申込!D22,6,FIND("/",教室申込!D22,6)-6)),VALUE(MID(教室申込!D22,FIND("/",教室申込!D22,6)+1,2))),""))</f>
        <v/>
      </c>
      <c r="H31" s="1"/>
      <c r="I31" s="1"/>
      <c r="J31" s="1"/>
      <c r="K31" s="1"/>
      <c r="L31" s="1"/>
    </row>
    <row r="32" spans="1:12">
      <c r="A32" s="1">
        <f>31</f>
        <v>31</v>
      </c>
      <c r="B32" s="1">
        <f>23</f>
        <v>23</v>
      </c>
      <c r="C32" s="1" t="str">
        <f>"珠算"</f>
        <v>珠算</v>
      </c>
      <c r="D32" s="1" t="str">
        <f>IF(教室申込!F23="","",IFERROR(VALUE(教室申込!F23),""))</f>
        <v/>
      </c>
      <c r="E32" s="1" t="str">
        <f>IF(D32="","",COUNT($D$2:D32))</f>
        <v/>
      </c>
      <c r="F32" s="1" t="str">
        <f>IF(COUNTA(教室申込!$C$4)=0,"",教室申込!$C$4)</f>
        <v/>
      </c>
      <c r="G32" s="1" t="str">
        <f>IF(教室申込!D23="","",IFERROR(DATE(VALUE(LEFT(教室申込!D23,4)),VALUE(MID(教室申込!D23,6,FIND("/",教室申込!D23,6)-6)),VALUE(MID(教室申込!D23,FIND("/",教室申込!D23,6)+1,2))),""))</f>
        <v/>
      </c>
      <c r="H32" s="1"/>
      <c r="I32" s="1"/>
      <c r="J32" s="1"/>
      <c r="K32" s="1"/>
      <c r="L32" s="1"/>
    </row>
    <row r="33" spans="1:12">
      <c r="A33" s="1">
        <f>32</f>
        <v>32</v>
      </c>
      <c r="B33" s="1">
        <f>23</f>
        <v>23</v>
      </c>
      <c r="C33" s="1" t="str">
        <f>"暗算"</f>
        <v>暗算</v>
      </c>
      <c r="D33" s="1" t="str">
        <f>IF(教室申込!G23="","",IFERROR(VALUE(教室申込!G23),""))</f>
        <v/>
      </c>
      <c r="E33" s="1" t="str">
        <f>IF(D33="","",COUNT($D$2:D33))</f>
        <v/>
      </c>
      <c r="F33" s="1" t="str">
        <f>IF(COUNTA(教室申込!$C$4)=0,"",教室申込!$C$4)</f>
        <v/>
      </c>
      <c r="G33" s="1" t="str">
        <f>IF(教室申込!D23="","",IFERROR(DATE(VALUE(LEFT(教室申込!D23,4)),VALUE(MID(教室申込!D23,6,FIND("/",教室申込!D23,6)-6)),VALUE(MID(教室申込!D23,FIND("/",教室申込!D23,6)+1,2))),""))</f>
        <v/>
      </c>
      <c r="H33" s="1"/>
      <c r="I33" s="1"/>
      <c r="J33" s="1"/>
      <c r="K33" s="1"/>
      <c r="L33" s="1"/>
    </row>
    <row r="34" spans="1:12">
      <c r="A34" s="1">
        <f>33</f>
        <v>33</v>
      </c>
      <c r="B34" s="1">
        <f>23</f>
        <v>23</v>
      </c>
      <c r="C34" s="1" t="str">
        <f>"段位認定"</f>
        <v>段位認定</v>
      </c>
      <c r="D34" s="1" t="str">
        <f>IF(教室申込!H23="","",IFERROR(MATCH(教室申込!H23,料金表!$G$6:$G$8,0),""))</f>
        <v/>
      </c>
      <c r="E34" s="1" t="str">
        <f>IF(D34="","",COUNT($D$2:D34))</f>
        <v/>
      </c>
      <c r="F34" s="1" t="str">
        <f>IF(COUNTA(教室申込!$C$4)=0,"",教室申込!$C$4)</f>
        <v/>
      </c>
      <c r="G34" s="1" t="str">
        <f>IF(教室申込!D23="","",IFERROR(DATE(VALUE(LEFT(教室申込!D23,4)),VALUE(MID(教室申込!D23,6,FIND("/",教室申込!D23,6)-6)),VALUE(MID(教室申込!D23,FIND("/",教室申込!D23,6)+1,2))),""))</f>
        <v/>
      </c>
      <c r="H34" s="1"/>
      <c r="I34" s="1"/>
      <c r="J34" s="1"/>
      <c r="K34" s="1"/>
      <c r="L34" s="1"/>
    </row>
    <row r="35" spans="1:12">
      <c r="A35" s="1">
        <f>34</f>
        <v>34</v>
      </c>
      <c r="B35" s="1">
        <f>24</f>
        <v>24</v>
      </c>
      <c r="C35" s="1" t="str">
        <f>"珠算"</f>
        <v>珠算</v>
      </c>
      <c r="D35" s="1" t="str">
        <f>IF(教室申込!F24="","",IFERROR(VALUE(教室申込!F24),""))</f>
        <v/>
      </c>
      <c r="E35" s="1" t="str">
        <f>IF(D35="","",COUNT($D$2:D35))</f>
        <v/>
      </c>
      <c r="F35" s="1" t="str">
        <f>IF(COUNTA(教室申込!$C$4)=0,"",教室申込!$C$4)</f>
        <v/>
      </c>
      <c r="G35" s="1" t="str">
        <f>IF(教室申込!D24="","",IFERROR(DATE(VALUE(LEFT(教室申込!D24,4)),VALUE(MID(教室申込!D24,6,FIND("/",教室申込!D24,6)-6)),VALUE(MID(教室申込!D24,FIND("/",教室申込!D24,6)+1,2))),""))</f>
        <v/>
      </c>
      <c r="H35" s="1"/>
      <c r="I35" s="1"/>
      <c r="J35" s="1"/>
      <c r="K35" s="1"/>
      <c r="L35" s="1"/>
    </row>
    <row r="36" spans="1:12">
      <c r="A36" s="1">
        <f>35</f>
        <v>35</v>
      </c>
      <c r="B36" s="1">
        <f>24</f>
        <v>24</v>
      </c>
      <c r="C36" s="1" t="str">
        <f>"暗算"</f>
        <v>暗算</v>
      </c>
      <c r="D36" s="1" t="str">
        <f>IF(教室申込!G24="","",IFERROR(VALUE(教室申込!G24),""))</f>
        <v/>
      </c>
      <c r="E36" s="1" t="str">
        <f>IF(D36="","",COUNT($D$2:D36))</f>
        <v/>
      </c>
      <c r="F36" s="1" t="str">
        <f>IF(COUNTA(教室申込!$C$4)=0,"",教室申込!$C$4)</f>
        <v/>
      </c>
      <c r="G36" s="1" t="str">
        <f>IF(教室申込!D24="","",IFERROR(DATE(VALUE(LEFT(教室申込!D24,4)),VALUE(MID(教室申込!D24,6,FIND("/",教室申込!D24,6)-6)),VALUE(MID(教室申込!D24,FIND("/",教室申込!D24,6)+1,2))),""))</f>
        <v/>
      </c>
      <c r="H36" s="1"/>
      <c r="I36" s="1"/>
      <c r="J36" s="1"/>
      <c r="K36" s="1"/>
      <c r="L36" s="1"/>
    </row>
    <row r="37" spans="1:12">
      <c r="A37" s="1">
        <f>36</f>
        <v>36</v>
      </c>
      <c r="B37" s="1">
        <f>24</f>
        <v>24</v>
      </c>
      <c r="C37" s="1" t="str">
        <f>"段位認定"</f>
        <v>段位認定</v>
      </c>
      <c r="D37" s="1" t="str">
        <f>IF(教室申込!H24="","",IFERROR(MATCH(教室申込!H24,料金表!$G$6:$G$8,0),""))</f>
        <v/>
      </c>
      <c r="E37" s="1" t="str">
        <f>IF(D37="","",COUNT($D$2:D37))</f>
        <v/>
      </c>
      <c r="F37" s="1" t="str">
        <f>IF(COUNTA(教室申込!$C$4)=0,"",教室申込!$C$4)</f>
        <v/>
      </c>
      <c r="G37" s="1" t="str">
        <f>IF(教室申込!D24="","",IFERROR(DATE(VALUE(LEFT(教室申込!D24,4)),VALUE(MID(教室申込!D24,6,FIND("/",教室申込!D24,6)-6)),VALUE(MID(教室申込!D24,FIND("/",教室申込!D24,6)+1,2))),""))</f>
        <v/>
      </c>
      <c r="H37" s="1"/>
      <c r="I37" s="1"/>
      <c r="J37" s="1"/>
      <c r="K37" s="1"/>
      <c r="L37" s="1"/>
    </row>
    <row r="38" spans="1:12">
      <c r="A38" s="1">
        <f>37</f>
        <v>37</v>
      </c>
      <c r="B38" s="1">
        <f>25</f>
        <v>25</v>
      </c>
      <c r="C38" s="1" t="str">
        <f>"珠算"</f>
        <v>珠算</v>
      </c>
      <c r="D38" s="1" t="str">
        <f>IF(教室申込!F25="","",IFERROR(VALUE(教室申込!F25),""))</f>
        <v/>
      </c>
      <c r="E38" s="1" t="str">
        <f>IF(D38="","",COUNT($D$2:D38))</f>
        <v/>
      </c>
      <c r="F38" s="1" t="str">
        <f>IF(COUNTA(教室申込!$C$4)=0,"",教室申込!$C$4)</f>
        <v/>
      </c>
      <c r="G38" s="1" t="str">
        <f>IF(教室申込!D25="","",IFERROR(DATE(VALUE(LEFT(教室申込!D25,4)),VALUE(MID(教室申込!D25,6,FIND("/",教室申込!D25,6)-6)),VALUE(MID(教室申込!D25,FIND("/",教室申込!D25,6)+1,2))),""))</f>
        <v/>
      </c>
      <c r="H38" s="1"/>
      <c r="I38" s="1"/>
      <c r="J38" s="1"/>
      <c r="K38" s="1"/>
      <c r="L38" s="1"/>
    </row>
    <row r="39" spans="1:12">
      <c r="A39" s="1">
        <f>38</f>
        <v>38</v>
      </c>
      <c r="B39" s="1">
        <f>25</f>
        <v>25</v>
      </c>
      <c r="C39" s="1" t="str">
        <f>"暗算"</f>
        <v>暗算</v>
      </c>
      <c r="D39" s="1" t="str">
        <f>IF(教室申込!G25="","",IFERROR(VALUE(教室申込!G25),""))</f>
        <v/>
      </c>
      <c r="E39" s="1" t="str">
        <f>IF(D39="","",COUNT($D$2:D39))</f>
        <v/>
      </c>
      <c r="F39" s="1" t="str">
        <f>IF(COUNTA(教室申込!$C$4)=0,"",教室申込!$C$4)</f>
        <v/>
      </c>
      <c r="G39" s="1" t="str">
        <f>IF(教室申込!D25="","",IFERROR(DATE(VALUE(LEFT(教室申込!D25,4)),VALUE(MID(教室申込!D25,6,FIND("/",教室申込!D25,6)-6)),VALUE(MID(教室申込!D25,FIND("/",教室申込!D25,6)+1,2))),""))</f>
        <v/>
      </c>
      <c r="H39" s="1"/>
      <c r="I39" s="1"/>
      <c r="J39" s="1"/>
      <c r="K39" s="1"/>
      <c r="L39" s="1"/>
    </row>
    <row r="40" spans="1:12">
      <c r="A40" s="1">
        <f>39</f>
        <v>39</v>
      </c>
      <c r="B40" s="1">
        <f>25</f>
        <v>25</v>
      </c>
      <c r="C40" s="1" t="str">
        <f>"段位認定"</f>
        <v>段位認定</v>
      </c>
      <c r="D40" s="1" t="str">
        <f>IF(教室申込!H25="","",IFERROR(MATCH(教室申込!H25,料金表!$G$6:$G$8,0),""))</f>
        <v/>
      </c>
      <c r="E40" s="1" t="str">
        <f>IF(D40="","",COUNT($D$2:D40))</f>
        <v/>
      </c>
      <c r="F40" s="1" t="str">
        <f>IF(COUNTA(教室申込!$C$4)=0,"",教室申込!$C$4)</f>
        <v/>
      </c>
      <c r="G40" s="1" t="str">
        <f>IF(教室申込!D25="","",IFERROR(DATE(VALUE(LEFT(教室申込!D25,4)),VALUE(MID(教室申込!D25,6,FIND("/",教室申込!D25,6)-6)),VALUE(MID(教室申込!D25,FIND("/",教室申込!D25,6)+1,2))),""))</f>
        <v/>
      </c>
      <c r="H40" s="1"/>
      <c r="I40" s="1"/>
      <c r="J40" s="1"/>
      <c r="K40" s="1"/>
      <c r="L40" s="1"/>
    </row>
    <row r="41" spans="1:12">
      <c r="A41" s="1">
        <f>40</f>
        <v>40</v>
      </c>
      <c r="B41" s="1">
        <f>26</f>
        <v>26</v>
      </c>
      <c r="C41" s="1" t="str">
        <f>"珠算"</f>
        <v>珠算</v>
      </c>
      <c r="D41" s="1" t="str">
        <f>IF(教室申込!F26="","",IFERROR(VALUE(教室申込!F26),""))</f>
        <v/>
      </c>
      <c r="E41" s="1" t="str">
        <f>IF(D41="","",COUNT($D$2:D41))</f>
        <v/>
      </c>
      <c r="F41" s="1" t="str">
        <f>IF(COUNTA(教室申込!$C$4)=0,"",教室申込!$C$4)</f>
        <v/>
      </c>
      <c r="G41" s="1" t="str">
        <f>IF(教室申込!D26="","",IFERROR(DATE(VALUE(LEFT(教室申込!D26,4)),VALUE(MID(教室申込!D26,6,FIND("/",教室申込!D26,6)-6)),VALUE(MID(教室申込!D26,FIND("/",教室申込!D26,6)+1,2))),""))</f>
        <v/>
      </c>
      <c r="H41" s="1"/>
      <c r="I41" s="1"/>
      <c r="J41" s="1"/>
      <c r="K41" s="1"/>
      <c r="L41" s="1"/>
    </row>
    <row r="42" spans="1:12">
      <c r="A42" s="1">
        <f>41</f>
        <v>41</v>
      </c>
      <c r="B42" s="1">
        <f>26</f>
        <v>26</v>
      </c>
      <c r="C42" s="1" t="str">
        <f>"暗算"</f>
        <v>暗算</v>
      </c>
      <c r="D42" s="1" t="str">
        <f>IF(教室申込!G26="","",IFERROR(VALUE(教室申込!G26),""))</f>
        <v/>
      </c>
      <c r="E42" s="1" t="str">
        <f>IF(D42="","",COUNT($D$2:D42))</f>
        <v/>
      </c>
      <c r="F42" s="1" t="str">
        <f>IF(COUNTA(教室申込!$C$4)=0,"",教室申込!$C$4)</f>
        <v/>
      </c>
      <c r="G42" s="1" t="str">
        <f>IF(教室申込!D26="","",IFERROR(DATE(VALUE(LEFT(教室申込!D26,4)),VALUE(MID(教室申込!D26,6,FIND("/",教室申込!D26,6)-6)),VALUE(MID(教室申込!D26,FIND("/",教室申込!D26,6)+1,2))),""))</f>
        <v/>
      </c>
      <c r="H42" s="1"/>
      <c r="I42" s="1"/>
      <c r="J42" s="1"/>
      <c r="K42" s="1"/>
      <c r="L42" s="1"/>
    </row>
    <row r="43" spans="1:12">
      <c r="A43" s="1">
        <f>42</f>
        <v>42</v>
      </c>
      <c r="B43" s="1">
        <f>26</f>
        <v>26</v>
      </c>
      <c r="C43" s="1" t="str">
        <f>"段位認定"</f>
        <v>段位認定</v>
      </c>
      <c r="D43" s="1" t="str">
        <f>IF(教室申込!H26="","",IFERROR(MATCH(教室申込!H26,料金表!$G$6:$G$8,0),""))</f>
        <v/>
      </c>
      <c r="E43" s="1" t="str">
        <f>IF(D43="","",COUNT($D$2:D43))</f>
        <v/>
      </c>
      <c r="F43" s="1" t="str">
        <f>IF(COUNTA(教室申込!$C$4)=0,"",教室申込!$C$4)</f>
        <v/>
      </c>
      <c r="G43" s="1" t="str">
        <f>IF(教室申込!D26="","",IFERROR(DATE(VALUE(LEFT(教室申込!D26,4)),VALUE(MID(教室申込!D26,6,FIND("/",教室申込!D26,6)-6)),VALUE(MID(教室申込!D26,FIND("/",教室申込!D26,6)+1,2))),""))</f>
        <v/>
      </c>
      <c r="H43" s="1"/>
      <c r="I43" s="1"/>
      <c r="J43" s="1"/>
      <c r="K43" s="1"/>
      <c r="L43" s="1"/>
    </row>
    <row r="44" spans="1:12">
      <c r="A44" s="1">
        <f>43</f>
        <v>43</v>
      </c>
      <c r="B44" s="1">
        <f>27</f>
        <v>27</v>
      </c>
      <c r="C44" s="1" t="str">
        <f>"珠算"</f>
        <v>珠算</v>
      </c>
      <c r="D44" s="1" t="str">
        <f>IF(教室申込!F27="","",IFERROR(VALUE(教室申込!F27),""))</f>
        <v/>
      </c>
      <c r="E44" s="1" t="str">
        <f>IF(D44="","",COUNT($D$2:D44))</f>
        <v/>
      </c>
      <c r="F44" s="1" t="str">
        <f>IF(COUNTA(教室申込!$C$4)=0,"",教室申込!$C$4)</f>
        <v/>
      </c>
      <c r="G44" s="1" t="str">
        <f>IF(教室申込!D27="","",IFERROR(DATE(VALUE(LEFT(教室申込!D27,4)),VALUE(MID(教室申込!D27,6,FIND("/",教室申込!D27,6)-6)),VALUE(MID(教室申込!D27,FIND("/",教室申込!D27,6)+1,2))),""))</f>
        <v/>
      </c>
      <c r="H44" s="1"/>
      <c r="I44" s="1"/>
      <c r="J44" s="1"/>
      <c r="K44" s="1"/>
      <c r="L44" s="1"/>
    </row>
    <row r="45" spans="1:12">
      <c r="A45" s="1">
        <f>44</f>
        <v>44</v>
      </c>
      <c r="B45" s="1">
        <f>27</f>
        <v>27</v>
      </c>
      <c r="C45" s="1" t="str">
        <f>"暗算"</f>
        <v>暗算</v>
      </c>
      <c r="D45" s="1" t="str">
        <f>IF(教室申込!G27="","",IFERROR(VALUE(教室申込!G27),""))</f>
        <v/>
      </c>
      <c r="E45" s="1" t="str">
        <f>IF(D45="","",COUNT($D$2:D45))</f>
        <v/>
      </c>
      <c r="F45" s="1" t="str">
        <f>IF(COUNTA(教室申込!$C$4)=0,"",教室申込!$C$4)</f>
        <v/>
      </c>
      <c r="G45" s="1" t="str">
        <f>IF(教室申込!D27="","",IFERROR(DATE(VALUE(LEFT(教室申込!D27,4)),VALUE(MID(教室申込!D27,6,FIND("/",教室申込!D27,6)-6)),VALUE(MID(教室申込!D27,FIND("/",教室申込!D27,6)+1,2))),""))</f>
        <v/>
      </c>
      <c r="H45" s="1"/>
      <c r="I45" s="1"/>
      <c r="J45" s="1"/>
      <c r="K45" s="1"/>
      <c r="L45" s="1"/>
    </row>
    <row r="46" spans="1:12">
      <c r="A46" s="1">
        <f>45</f>
        <v>45</v>
      </c>
      <c r="B46" s="1">
        <f>27</f>
        <v>27</v>
      </c>
      <c r="C46" s="1" t="str">
        <f>"段位認定"</f>
        <v>段位認定</v>
      </c>
      <c r="D46" s="1" t="str">
        <f>IF(教室申込!H27="","",IFERROR(MATCH(教室申込!H27,料金表!$G$6:$G$8,0),""))</f>
        <v/>
      </c>
      <c r="E46" s="1" t="str">
        <f>IF(D46="","",COUNT($D$2:D46))</f>
        <v/>
      </c>
      <c r="F46" s="1" t="str">
        <f>IF(COUNTA(教室申込!$C$4)=0,"",教室申込!$C$4)</f>
        <v/>
      </c>
      <c r="G46" s="1" t="str">
        <f>IF(教室申込!D27="","",IFERROR(DATE(VALUE(LEFT(教室申込!D27,4)),VALUE(MID(教室申込!D27,6,FIND("/",教室申込!D27,6)-6)),VALUE(MID(教室申込!D27,FIND("/",教室申込!D27,6)+1,2))),""))</f>
        <v/>
      </c>
      <c r="H46" s="1"/>
      <c r="I46" s="1"/>
      <c r="J46" s="1"/>
      <c r="K46" s="1"/>
      <c r="L46" s="1"/>
    </row>
    <row r="47" spans="1:12">
      <c r="A47" s="1">
        <f>46</f>
        <v>46</v>
      </c>
      <c r="B47" s="1">
        <f>28</f>
        <v>28</v>
      </c>
      <c r="C47" s="1" t="str">
        <f>"珠算"</f>
        <v>珠算</v>
      </c>
      <c r="D47" s="1" t="str">
        <f>IF(教室申込!F28="","",IFERROR(VALUE(教室申込!F28),""))</f>
        <v/>
      </c>
      <c r="E47" s="1" t="str">
        <f>IF(D47="","",COUNT($D$2:D47))</f>
        <v/>
      </c>
      <c r="F47" s="1" t="str">
        <f>IF(COUNTA(教室申込!$C$4)=0,"",教室申込!$C$4)</f>
        <v/>
      </c>
      <c r="G47" s="1" t="str">
        <f>IF(教室申込!D28="","",IFERROR(DATE(VALUE(LEFT(教室申込!D28,4)),VALUE(MID(教室申込!D28,6,FIND("/",教室申込!D28,6)-6)),VALUE(MID(教室申込!D28,FIND("/",教室申込!D28,6)+1,2))),""))</f>
        <v/>
      </c>
      <c r="H47" s="1"/>
      <c r="I47" s="1"/>
      <c r="J47" s="1"/>
      <c r="K47" s="1"/>
      <c r="L47" s="1"/>
    </row>
    <row r="48" spans="1:12">
      <c r="A48" s="1">
        <f>47</f>
        <v>47</v>
      </c>
      <c r="B48" s="1">
        <f>28</f>
        <v>28</v>
      </c>
      <c r="C48" s="1" t="str">
        <f>"暗算"</f>
        <v>暗算</v>
      </c>
      <c r="D48" s="1" t="str">
        <f>IF(教室申込!G28="","",IFERROR(VALUE(教室申込!G28),""))</f>
        <v/>
      </c>
      <c r="E48" s="1" t="str">
        <f>IF(D48="","",COUNT($D$2:D48))</f>
        <v/>
      </c>
      <c r="F48" s="1" t="str">
        <f>IF(COUNTA(教室申込!$C$4)=0,"",教室申込!$C$4)</f>
        <v/>
      </c>
      <c r="G48" s="1" t="str">
        <f>IF(教室申込!D28="","",IFERROR(DATE(VALUE(LEFT(教室申込!D28,4)),VALUE(MID(教室申込!D28,6,FIND("/",教室申込!D28,6)-6)),VALUE(MID(教室申込!D28,FIND("/",教室申込!D28,6)+1,2))),""))</f>
        <v/>
      </c>
      <c r="H48" s="1"/>
      <c r="I48" s="1"/>
      <c r="J48" s="1"/>
      <c r="K48" s="1"/>
      <c r="L48" s="1"/>
    </row>
    <row r="49" spans="1:12">
      <c r="A49" s="1">
        <f>48</f>
        <v>48</v>
      </c>
      <c r="B49" s="1">
        <f>28</f>
        <v>28</v>
      </c>
      <c r="C49" s="1" t="str">
        <f>"段位認定"</f>
        <v>段位認定</v>
      </c>
      <c r="D49" s="1" t="str">
        <f>IF(教室申込!H28="","",IFERROR(MATCH(教室申込!H28,料金表!$G$6:$G$8,0),""))</f>
        <v/>
      </c>
      <c r="E49" s="1" t="str">
        <f>IF(D49="","",COUNT($D$2:D49))</f>
        <v/>
      </c>
      <c r="F49" s="1" t="str">
        <f>IF(COUNTA(教室申込!$C$4)=0,"",教室申込!$C$4)</f>
        <v/>
      </c>
      <c r="G49" s="1" t="str">
        <f>IF(教室申込!D28="","",IFERROR(DATE(VALUE(LEFT(教室申込!D28,4)),VALUE(MID(教室申込!D28,6,FIND("/",教室申込!D28,6)-6)),VALUE(MID(教室申込!D28,FIND("/",教室申込!D28,6)+1,2))),""))</f>
        <v/>
      </c>
      <c r="H49" s="1"/>
      <c r="I49" s="1"/>
      <c r="J49" s="1"/>
      <c r="K49" s="1"/>
      <c r="L49" s="1"/>
    </row>
    <row r="50" spans="1:12">
      <c r="A50" s="1">
        <f>49</f>
        <v>49</v>
      </c>
      <c r="B50" s="1">
        <f>29</f>
        <v>29</v>
      </c>
      <c r="C50" s="1" t="str">
        <f>"珠算"</f>
        <v>珠算</v>
      </c>
      <c r="D50" s="1" t="str">
        <f>IF(教室申込!F29="","",IFERROR(VALUE(教室申込!F29),""))</f>
        <v/>
      </c>
      <c r="E50" s="1" t="str">
        <f>IF(D50="","",COUNT($D$2:D50))</f>
        <v/>
      </c>
      <c r="F50" s="1" t="str">
        <f>IF(COUNTA(教室申込!$C$4)=0,"",教室申込!$C$4)</f>
        <v/>
      </c>
      <c r="G50" s="1" t="str">
        <f>IF(教室申込!D29="","",IFERROR(DATE(VALUE(LEFT(教室申込!D29,4)),VALUE(MID(教室申込!D29,6,FIND("/",教室申込!D29,6)-6)),VALUE(MID(教室申込!D29,FIND("/",教室申込!D29,6)+1,2))),""))</f>
        <v/>
      </c>
      <c r="H50" s="1"/>
      <c r="I50" s="1"/>
      <c r="J50" s="1"/>
      <c r="K50" s="1"/>
      <c r="L50" s="1"/>
    </row>
    <row r="51" spans="1:12">
      <c r="A51" s="1">
        <f>50</f>
        <v>50</v>
      </c>
      <c r="B51" s="1">
        <f>29</f>
        <v>29</v>
      </c>
      <c r="C51" s="1" t="str">
        <f>"暗算"</f>
        <v>暗算</v>
      </c>
      <c r="D51" s="1" t="str">
        <f>IF(教室申込!G29="","",IFERROR(VALUE(教室申込!G29),""))</f>
        <v/>
      </c>
      <c r="E51" s="1" t="str">
        <f>IF(D51="","",COUNT($D$2:D51))</f>
        <v/>
      </c>
      <c r="F51" s="1" t="str">
        <f>IF(COUNTA(教室申込!$C$4)=0,"",教室申込!$C$4)</f>
        <v/>
      </c>
      <c r="G51" s="1" t="str">
        <f>IF(教室申込!D29="","",IFERROR(DATE(VALUE(LEFT(教室申込!D29,4)),VALUE(MID(教室申込!D29,6,FIND("/",教室申込!D29,6)-6)),VALUE(MID(教室申込!D29,FIND("/",教室申込!D29,6)+1,2))),""))</f>
        <v/>
      </c>
      <c r="H51" s="1"/>
      <c r="I51" s="1"/>
      <c r="J51" s="1"/>
      <c r="K51" s="1"/>
      <c r="L51" s="1"/>
    </row>
    <row r="52" spans="1:12">
      <c r="A52" s="1">
        <f>51</f>
        <v>51</v>
      </c>
      <c r="B52" s="1">
        <f>29</f>
        <v>29</v>
      </c>
      <c r="C52" s="1" t="str">
        <f>"段位認定"</f>
        <v>段位認定</v>
      </c>
      <c r="D52" s="1" t="str">
        <f>IF(教室申込!H29="","",IFERROR(MATCH(教室申込!H29,料金表!$G$6:$G$8,0),""))</f>
        <v/>
      </c>
      <c r="E52" s="1" t="str">
        <f>IF(D52="","",COUNT($D$2:D52))</f>
        <v/>
      </c>
      <c r="F52" s="1" t="str">
        <f>IF(COUNTA(教室申込!$C$4)=0,"",教室申込!$C$4)</f>
        <v/>
      </c>
      <c r="G52" s="1" t="str">
        <f>IF(教室申込!D29="","",IFERROR(DATE(VALUE(LEFT(教室申込!D29,4)),VALUE(MID(教室申込!D29,6,FIND("/",教室申込!D29,6)-6)),VALUE(MID(教室申込!D29,FIND("/",教室申込!D29,6)+1,2))),""))</f>
        <v/>
      </c>
      <c r="H52" s="1"/>
      <c r="I52" s="1"/>
      <c r="J52" s="1"/>
      <c r="K52" s="1"/>
      <c r="L52" s="1"/>
    </row>
    <row r="53" spans="1:12">
      <c r="A53" s="1">
        <f>52</f>
        <v>52</v>
      </c>
      <c r="B53" s="1">
        <f>30</f>
        <v>30</v>
      </c>
      <c r="C53" s="1" t="str">
        <f>"珠算"</f>
        <v>珠算</v>
      </c>
      <c r="D53" s="1" t="str">
        <f>IF(教室申込!F30="","",IFERROR(VALUE(教室申込!F30),""))</f>
        <v/>
      </c>
      <c r="E53" s="1" t="str">
        <f>IF(D53="","",COUNT($D$2:D53))</f>
        <v/>
      </c>
      <c r="F53" s="1" t="str">
        <f>IF(COUNTA(教室申込!$C$4)=0,"",教室申込!$C$4)</f>
        <v/>
      </c>
      <c r="G53" s="1" t="str">
        <f>IF(教室申込!D30="","",IFERROR(DATE(VALUE(LEFT(教室申込!D30,4)),VALUE(MID(教室申込!D30,6,FIND("/",教室申込!D30,6)-6)),VALUE(MID(教室申込!D30,FIND("/",教室申込!D30,6)+1,2))),""))</f>
        <v/>
      </c>
      <c r="H53" s="1"/>
      <c r="I53" s="1"/>
      <c r="J53" s="1"/>
      <c r="K53" s="1"/>
      <c r="L53" s="1"/>
    </row>
    <row r="54" spans="1:12">
      <c r="A54" s="1">
        <f>53</f>
        <v>53</v>
      </c>
      <c r="B54" s="1">
        <f>30</f>
        <v>30</v>
      </c>
      <c r="C54" s="1" t="str">
        <f>"暗算"</f>
        <v>暗算</v>
      </c>
      <c r="D54" s="1" t="str">
        <f>IF(教室申込!G30="","",IFERROR(VALUE(教室申込!G30),""))</f>
        <v/>
      </c>
      <c r="E54" s="1" t="str">
        <f>IF(D54="","",COUNT($D$2:D54))</f>
        <v/>
      </c>
      <c r="F54" s="1" t="str">
        <f>IF(COUNTA(教室申込!$C$4)=0,"",教室申込!$C$4)</f>
        <v/>
      </c>
      <c r="G54" s="1" t="str">
        <f>IF(教室申込!D30="","",IFERROR(DATE(VALUE(LEFT(教室申込!D30,4)),VALUE(MID(教室申込!D30,6,FIND("/",教室申込!D30,6)-6)),VALUE(MID(教室申込!D30,FIND("/",教室申込!D30,6)+1,2))),""))</f>
        <v/>
      </c>
      <c r="H54" s="1"/>
      <c r="I54" s="1"/>
      <c r="J54" s="1"/>
      <c r="K54" s="1"/>
      <c r="L54" s="1"/>
    </row>
    <row r="55" spans="1:12">
      <c r="A55" s="1">
        <f>54</f>
        <v>54</v>
      </c>
      <c r="B55" s="1">
        <f>30</f>
        <v>30</v>
      </c>
      <c r="C55" s="1" t="str">
        <f>"段位認定"</f>
        <v>段位認定</v>
      </c>
      <c r="D55" s="1" t="str">
        <f>IF(教室申込!H30="","",IFERROR(MATCH(教室申込!H30,料金表!$G$6:$G$8,0),""))</f>
        <v/>
      </c>
      <c r="E55" s="1" t="str">
        <f>IF(D55="","",COUNT($D$2:D55))</f>
        <v/>
      </c>
      <c r="F55" s="1" t="str">
        <f>IF(COUNTA(教室申込!$C$4)=0,"",教室申込!$C$4)</f>
        <v/>
      </c>
      <c r="G55" s="1" t="str">
        <f>IF(教室申込!D30="","",IFERROR(DATE(VALUE(LEFT(教室申込!D30,4)),VALUE(MID(教室申込!D30,6,FIND("/",教室申込!D30,6)-6)),VALUE(MID(教室申込!D30,FIND("/",教室申込!D30,6)+1,2))),""))</f>
        <v/>
      </c>
      <c r="H55" s="1"/>
      <c r="I55" s="1"/>
      <c r="J55" s="1"/>
      <c r="K55" s="1"/>
      <c r="L55" s="1"/>
    </row>
    <row r="56" spans="1:12">
      <c r="A56" s="1">
        <f>55</f>
        <v>55</v>
      </c>
      <c r="B56" s="1">
        <f>31</f>
        <v>31</v>
      </c>
      <c r="C56" s="1" t="str">
        <f>"珠算"</f>
        <v>珠算</v>
      </c>
      <c r="D56" s="1" t="str">
        <f>IF(教室申込!F31="","",IFERROR(VALUE(教室申込!F31),""))</f>
        <v/>
      </c>
      <c r="E56" s="1" t="str">
        <f>IF(D56="","",COUNT($D$2:D56))</f>
        <v/>
      </c>
      <c r="F56" s="1" t="str">
        <f>IF(COUNTA(教室申込!$C$4)=0,"",教室申込!$C$4)</f>
        <v/>
      </c>
      <c r="G56" s="1" t="str">
        <f>IF(教室申込!D31="","",IFERROR(DATE(VALUE(LEFT(教室申込!D31,4)),VALUE(MID(教室申込!D31,6,FIND("/",教室申込!D31,6)-6)),VALUE(MID(教室申込!D31,FIND("/",教室申込!D31,6)+1,2))),""))</f>
        <v/>
      </c>
      <c r="H56" s="1"/>
      <c r="I56" s="1"/>
      <c r="J56" s="1"/>
      <c r="K56" s="1"/>
      <c r="L56" s="1"/>
    </row>
    <row r="57" spans="1:12">
      <c r="A57" s="1">
        <f>56</f>
        <v>56</v>
      </c>
      <c r="B57" s="1">
        <f>31</f>
        <v>31</v>
      </c>
      <c r="C57" s="1" t="str">
        <f>"暗算"</f>
        <v>暗算</v>
      </c>
      <c r="D57" s="1" t="str">
        <f>IF(教室申込!G31="","",IFERROR(VALUE(教室申込!G31),""))</f>
        <v/>
      </c>
      <c r="E57" s="1" t="str">
        <f>IF(D57="","",COUNT($D$2:D57))</f>
        <v/>
      </c>
      <c r="F57" s="1" t="str">
        <f>IF(COUNTA(教室申込!$C$4)=0,"",教室申込!$C$4)</f>
        <v/>
      </c>
      <c r="G57" s="1" t="str">
        <f>IF(教室申込!D31="","",IFERROR(DATE(VALUE(LEFT(教室申込!D31,4)),VALUE(MID(教室申込!D31,6,FIND("/",教室申込!D31,6)-6)),VALUE(MID(教室申込!D31,FIND("/",教室申込!D31,6)+1,2))),""))</f>
        <v/>
      </c>
      <c r="H57" s="1"/>
      <c r="I57" s="1"/>
      <c r="J57" s="1"/>
      <c r="K57" s="1"/>
      <c r="L57" s="1"/>
    </row>
    <row r="58" spans="1:12">
      <c r="A58" s="1">
        <f>57</f>
        <v>57</v>
      </c>
      <c r="B58" s="1">
        <f>31</f>
        <v>31</v>
      </c>
      <c r="C58" s="1" t="str">
        <f>"段位認定"</f>
        <v>段位認定</v>
      </c>
      <c r="D58" s="1" t="str">
        <f>IF(教室申込!H31="","",IFERROR(MATCH(教室申込!H31,料金表!$G$6:$G$8,0),""))</f>
        <v/>
      </c>
      <c r="E58" s="1" t="str">
        <f>IF(D58="","",COUNT($D$2:D58))</f>
        <v/>
      </c>
      <c r="F58" s="1" t="str">
        <f>IF(COUNTA(教室申込!$C$4)=0,"",教室申込!$C$4)</f>
        <v/>
      </c>
      <c r="G58" s="1" t="str">
        <f>IF(教室申込!D31="","",IFERROR(DATE(VALUE(LEFT(教室申込!D31,4)),VALUE(MID(教室申込!D31,6,FIND("/",教室申込!D31,6)-6)),VALUE(MID(教室申込!D31,FIND("/",教室申込!D31,6)+1,2))),""))</f>
        <v/>
      </c>
      <c r="H58" s="1"/>
      <c r="I58" s="1"/>
      <c r="J58" s="1"/>
      <c r="K58" s="1"/>
      <c r="L58" s="1"/>
    </row>
    <row r="59" spans="1:12">
      <c r="A59" s="1">
        <f>58</f>
        <v>58</v>
      </c>
      <c r="B59" s="1">
        <f>32</f>
        <v>32</v>
      </c>
      <c r="C59" s="1" t="str">
        <f>"珠算"</f>
        <v>珠算</v>
      </c>
      <c r="D59" s="1" t="str">
        <f>IF(教室申込!F32="","",IFERROR(VALUE(教室申込!F32),""))</f>
        <v/>
      </c>
      <c r="E59" s="1" t="str">
        <f>IF(D59="","",COUNT($D$2:D59))</f>
        <v/>
      </c>
      <c r="F59" s="1" t="str">
        <f>IF(COUNTA(教室申込!$C$4)=0,"",教室申込!$C$4)</f>
        <v/>
      </c>
      <c r="G59" s="1" t="str">
        <f>IF(教室申込!D32="","",IFERROR(DATE(VALUE(LEFT(教室申込!D32,4)),VALUE(MID(教室申込!D32,6,FIND("/",教室申込!D32,6)-6)),VALUE(MID(教室申込!D32,FIND("/",教室申込!D32,6)+1,2))),""))</f>
        <v/>
      </c>
      <c r="H59" s="1"/>
      <c r="I59" s="1"/>
      <c r="J59" s="1"/>
      <c r="K59" s="1"/>
      <c r="L59" s="1"/>
    </row>
    <row r="60" spans="1:12">
      <c r="A60" s="1">
        <f>59</f>
        <v>59</v>
      </c>
      <c r="B60" s="1">
        <f>32</f>
        <v>32</v>
      </c>
      <c r="C60" s="1" t="str">
        <f>"暗算"</f>
        <v>暗算</v>
      </c>
      <c r="D60" s="1" t="str">
        <f>IF(教室申込!G32="","",IFERROR(VALUE(教室申込!G32),""))</f>
        <v/>
      </c>
      <c r="E60" s="1" t="str">
        <f>IF(D60="","",COUNT($D$2:D60))</f>
        <v/>
      </c>
      <c r="F60" s="1" t="str">
        <f>IF(COUNTA(教室申込!$C$4)=0,"",教室申込!$C$4)</f>
        <v/>
      </c>
      <c r="G60" s="1" t="str">
        <f>IF(教室申込!D32="","",IFERROR(DATE(VALUE(LEFT(教室申込!D32,4)),VALUE(MID(教室申込!D32,6,FIND("/",教室申込!D32,6)-6)),VALUE(MID(教室申込!D32,FIND("/",教室申込!D32,6)+1,2))),""))</f>
        <v/>
      </c>
      <c r="H60" s="1"/>
      <c r="I60" s="1"/>
      <c r="J60" s="1"/>
      <c r="K60" s="1"/>
      <c r="L60" s="1"/>
    </row>
    <row r="61" spans="1:12">
      <c r="A61" s="1">
        <f>60</f>
        <v>60</v>
      </c>
      <c r="B61" s="1">
        <f>32</f>
        <v>32</v>
      </c>
      <c r="C61" s="1" t="str">
        <f>"段位認定"</f>
        <v>段位認定</v>
      </c>
      <c r="D61" s="1" t="str">
        <f>IF(教室申込!H32="","",IFERROR(MATCH(教室申込!H32,料金表!$G$6:$G$8,0),""))</f>
        <v/>
      </c>
      <c r="E61" s="1" t="str">
        <f>IF(D61="","",COUNT($D$2:D61))</f>
        <v/>
      </c>
      <c r="F61" s="1" t="str">
        <f>IF(COUNTA(教室申込!$C$4)=0,"",教室申込!$C$4)</f>
        <v/>
      </c>
      <c r="G61" s="1" t="str">
        <f>IF(教室申込!D32="","",IFERROR(DATE(VALUE(LEFT(教室申込!D32,4)),VALUE(MID(教室申込!D32,6,FIND("/",教室申込!D32,6)-6)),VALUE(MID(教室申込!D32,FIND("/",教室申込!D32,6)+1,2))),""))</f>
        <v/>
      </c>
      <c r="H61" s="1"/>
      <c r="I61" s="1"/>
      <c r="J61" s="1"/>
      <c r="K61" s="1"/>
      <c r="L61" s="1"/>
    </row>
    <row r="62" spans="1:12">
      <c r="A62" s="1">
        <f>61</f>
        <v>61</v>
      </c>
      <c r="B62" s="1">
        <f>33</f>
        <v>33</v>
      </c>
      <c r="C62" s="1" t="str">
        <f>"珠算"</f>
        <v>珠算</v>
      </c>
      <c r="D62" s="1" t="str">
        <f>IF(教室申込!F33="","",IFERROR(VALUE(教室申込!F33),""))</f>
        <v/>
      </c>
      <c r="E62" s="1" t="str">
        <f>IF(D62="","",COUNT($D$2:D62))</f>
        <v/>
      </c>
      <c r="F62" s="1" t="str">
        <f>IF(COUNTA(教室申込!$C$4)=0,"",教室申込!$C$4)</f>
        <v/>
      </c>
      <c r="G62" s="1" t="str">
        <f>IF(教室申込!D33="","",IFERROR(DATE(VALUE(LEFT(教室申込!D33,4)),VALUE(MID(教室申込!D33,6,FIND("/",教室申込!D33,6)-6)),VALUE(MID(教室申込!D33,FIND("/",教室申込!D33,6)+1,2))),""))</f>
        <v/>
      </c>
      <c r="H62" s="1"/>
      <c r="I62" s="1"/>
      <c r="J62" s="1"/>
      <c r="K62" s="1"/>
      <c r="L62" s="1"/>
    </row>
    <row r="63" spans="1:12">
      <c r="A63" s="1">
        <f>62</f>
        <v>62</v>
      </c>
      <c r="B63" s="1">
        <f>33</f>
        <v>33</v>
      </c>
      <c r="C63" s="1" t="str">
        <f>"暗算"</f>
        <v>暗算</v>
      </c>
      <c r="D63" s="1" t="str">
        <f>IF(教室申込!G33="","",IFERROR(VALUE(教室申込!G33),""))</f>
        <v/>
      </c>
      <c r="E63" s="1" t="str">
        <f>IF(D63="","",COUNT($D$2:D63))</f>
        <v/>
      </c>
      <c r="F63" s="1" t="str">
        <f>IF(COUNTA(教室申込!$C$4)=0,"",教室申込!$C$4)</f>
        <v/>
      </c>
      <c r="G63" s="1" t="str">
        <f>IF(教室申込!D33="","",IFERROR(DATE(VALUE(LEFT(教室申込!D33,4)),VALUE(MID(教室申込!D33,6,FIND("/",教室申込!D33,6)-6)),VALUE(MID(教室申込!D33,FIND("/",教室申込!D33,6)+1,2))),""))</f>
        <v/>
      </c>
      <c r="H63" s="1"/>
      <c r="I63" s="1"/>
      <c r="J63" s="1"/>
      <c r="K63" s="1"/>
      <c r="L63" s="1"/>
    </row>
    <row r="64" spans="1:12">
      <c r="A64" s="1">
        <f>63</f>
        <v>63</v>
      </c>
      <c r="B64" s="1">
        <f>33</f>
        <v>33</v>
      </c>
      <c r="C64" s="1" t="str">
        <f>"段位認定"</f>
        <v>段位認定</v>
      </c>
      <c r="D64" s="1" t="str">
        <f>IF(教室申込!H33="","",IFERROR(MATCH(教室申込!H33,料金表!$G$6:$G$8,0),""))</f>
        <v/>
      </c>
      <c r="E64" s="1" t="str">
        <f>IF(D64="","",COUNT($D$2:D64))</f>
        <v/>
      </c>
      <c r="F64" s="1" t="str">
        <f>IF(COUNTA(教室申込!$C$4)=0,"",教室申込!$C$4)</f>
        <v/>
      </c>
      <c r="G64" s="1" t="str">
        <f>IF(教室申込!D33="","",IFERROR(DATE(VALUE(LEFT(教室申込!D33,4)),VALUE(MID(教室申込!D33,6,FIND("/",教室申込!D33,6)-6)),VALUE(MID(教室申込!D33,FIND("/",教室申込!D33,6)+1,2))),""))</f>
        <v/>
      </c>
      <c r="H64" s="1"/>
      <c r="I64" s="1"/>
      <c r="J64" s="1"/>
      <c r="K64" s="1"/>
      <c r="L64" s="1"/>
    </row>
    <row r="65" spans="1:12">
      <c r="A65" s="1">
        <f>64</f>
        <v>64</v>
      </c>
      <c r="B65" s="1">
        <f>34</f>
        <v>34</v>
      </c>
      <c r="C65" s="1" t="str">
        <f>"珠算"</f>
        <v>珠算</v>
      </c>
      <c r="D65" s="1" t="str">
        <f>IF(教室申込!F34="","",IFERROR(VALUE(教室申込!F34),""))</f>
        <v/>
      </c>
      <c r="E65" s="1" t="str">
        <f>IF(D65="","",COUNT($D$2:D65))</f>
        <v/>
      </c>
      <c r="F65" s="1" t="str">
        <f>IF(COUNTA(教室申込!$C$4)=0,"",教室申込!$C$4)</f>
        <v/>
      </c>
      <c r="G65" s="1" t="str">
        <f>IF(教室申込!D34="","",IFERROR(DATE(VALUE(LEFT(教室申込!D34,4)),VALUE(MID(教室申込!D34,6,FIND("/",教室申込!D34,6)-6)),VALUE(MID(教室申込!D34,FIND("/",教室申込!D34,6)+1,2))),""))</f>
        <v/>
      </c>
      <c r="H65" s="1"/>
      <c r="I65" s="1"/>
      <c r="J65" s="1"/>
      <c r="K65" s="1"/>
      <c r="L65" s="1"/>
    </row>
    <row r="66" spans="1:12">
      <c r="A66" s="1">
        <f>65</f>
        <v>65</v>
      </c>
      <c r="B66" s="1">
        <f>34</f>
        <v>34</v>
      </c>
      <c r="C66" s="1" t="str">
        <f>"暗算"</f>
        <v>暗算</v>
      </c>
      <c r="D66" s="1" t="str">
        <f>IF(教室申込!G34="","",IFERROR(VALUE(教室申込!G34),""))</f>
        <v/>
      </c>
      <c r="E66" s="1" t="str">
        <f>IF(D66="","",COUNT($D$2:D66))</f>
        <v/>
      </c>
      <c r="F66" s="1" t="str">
        <f>IF(COUNTA(教室申込!$C$4)=0,"",教室申込!$C$4)</f>
        <v/>
      </c>
      <c r="G66" s="1" t="str">
        <f>IF(教室申込!D34="","",IFERROR(DATE(VALUE(LEFT(教室申込!D34,4)),VALUE(MID(教室申込!D34,6,FIND("/",教室申込!D34,6)-6)),VALUE(MID(教室申込!D34,FIND("/",教室申込!D34,6)+1,2))),""))</f>
        <v/>
      </c>
      <c r="H66" s="1"/>
      <c r="I66" s="1"/>
      <c r="J66" s="1"/>
      <c r="K66" s="1"/>
      <c r="L66" s="1"/>
    </row>
    <row r="67" spans="1:12">
      <c r="A67" s="1">
        <f>66</f>
        <v>66</v>
      </c>
      <c r="B67" s="1">
        <f>34</f>
        <v>34</v>
      </c>
      <c r="C67" s="1" t="str">
        <f>"段位認定"</f>
        <v>段位認定</v>
      </c>
      <c r="D67" s="1" t="str">
        <f>IF(教室申込!H34="","",IFERROR(MATCH(教室申込!H34,料金表!$G$6:$G$8,0),""))</f>
        <v/>
      </c>
      <c r="E67" s="1" t="str">
        <f>IF(D67="","",COUNT($D$2:D67))</f>
        <v/>
      </c>
      <c r="F67" s="1" t="str">
        <f>IF(COUNTA(教室申込!$C$4)=0,"",教室申込!$C$4)</f>
        <v/>
      </c>
      <c r="G67" s="1" t="str">
        <f>IF(教室申込!D34="","",IFERROR(DATE(VALUE(LEFT(教室申込!D34,4)),VALUE(MID(教室申込!D34,6,FIND("/",教室申込!D34,6)-6)),VALUE(MID(教室申込!D34,FIND("/",教室申込!D34,6)+1,2))),""))</f>
        <v/>
      </c>
      <c r="H67" s="1"/>
      <c r="I67" s="1"/>
      <c r="J67" s="1"/>
      <c r="K67" s="1"/>
      <c r="L67" s="1"/>
    </row>
    <row r="68" spans="1:12">
      <c r="A68" s="1">
        <f>67</f>
        <v>67</v>
      </c>
      <c r="B68" s="1">
        <f>35</f>
        <v>35</v>
      </c>
      <c r="C68" s="1" t="str">
        <f>"珠算"</f>
        <v>珠算</v>
      </c>
      <c r="D68" s="1" t="str">
        <f>IF(教室申込!F35="","",IFERROR(VALUE(教室申込!F35),""))</f>
        <v/>
      </c>
      <c r="E68" s="1" t="str">
        <f>IF(D68="","",COUNT($D$2:D68))</f>
        <v/>
      </c>
      <c r="F68" s="1" t="str">
        <f>IF(COUNTA(教室申込!$C$4)=0,"",教室申込!$C$4)</f>
        <v/>
      </c>
      <c r="G68" s="1" t="str">
        <f>IF(教室申込!D35="","",IFERROR(DATE(VALUE(LEFT(教室申込!D35,4)),VALUE(MID(教室申込!D35,6,FIND("/",教室申込!D35,6)-6)),VALUE(MID(教室申込!D35,FIND("/",教室申込!D35,6)+1,2))),""))</f>
        <v/>
      </c>
      <c r="H68" s="1"/>
      <c r="I68" s="1"/>
      <c r="J68" s="1"/>
      <c r="K68" s="1"/>
      <c r="L68" s="1"/>
    </row>
    <row r="69" spans="1:12">
      <c r="A69" s="1">
        <f>68</f>
        <v>68</v>
      </c>
      <c r="B69" s="1">
        <f>35</f>
        <v>35</v>
      </c>
      <c r="C69" s="1" t="str">
        <f>"暗算"</f>
        <v>暗算</v>
      </c>
      <c r="D69" s="1" t="str">
        <f>IF(教室申込!G35="","",IFERROR(VALUE(教室申込!G35),""))</f>
        <v/>
      </c>
      <c r="E69" s="1" t="str">
        <f>IF(D69="","",COUNT($D$2:D69))</f>
        <v/>
      </c>
      <c r="F69" s="1" t="str">
        <f>IF(COUNTA(教室申込!$C$4)=0,"",教室申込!$C$4)</f>
        <v/>
      </c>
      <c r="G69" s="1" t="str">
        <f>IF(教室申込!D35="","",IFERROR(DATE(VALUE(LEFT(教室申込!D35,4)),VALUE(MID(教室申込!D35,6,FIND("/",教室申込!D35,6)-6)),VALUE(MID(教室申込!D35,FIND("/",教室申込!D35,6)+1,2))),""))</f>
        <v/>
      </c>
      <c r="H69" s="1"/>
      <c r="I69" s="1"/>
      <c r="J69" s="1"/>
      <c r="K69" s="1"/>
      <c r="L69" s="1"/>
    </row>
    <row r="70" spans="1:12">
      <c r="A70" s="1">
        <f>69</f>
        <v>69</v>
      </c>
      <c r="B70" s="1">
        <f>35</f>
        <v>35</v>
      </c>
      <c r="C70" s="1" t="str">
        <f>"段位認定"</f>
        <v>段位認定</v>
      </c>
      <c r="D70" s="1" t="str">
        <f>IF(教室申込!H35="","",IFERROR(MATCH(教室申込!H35,料金表!$G$6:$G$8,0),""))</f>
        <v/>
      </c>
      <c r="E70" s="1" t="str">
        <f>IF(D70="","",COUNT($D$2:D70))</f>
        <v/>
      </c>
      <c r="F70" s="1" t="str">
        <f>IF(COUNTA(教室申込!$C$4)=0,"",教室申込!$C$4)</f>
        <v/>
      </c>
      <c r="G70" s="1" t="str">
        <f>IF(教室申込!D35="","",IFERROR(DATE(VALUE(LEFT(教室申込!D35,4)),VALUE(MID(教室申込!D35,6,FIND("/",教室申込!D35,6)-6)),VALUE(MID(教室申込!D35,FIND("/",教室申込!D35,6)+1,2))),""))</f>
        <v/>
      </c>
      <c r="H70" s="1"/>
      <c r="I70" s="1"/>
      <c r="J70" s="1"/>
      <c r="K70" s="1"/>
      <c r="L70" s="1"/>
    </row>
    <row r="71" spans="1:12">
      <c r="A71" s="1">
        <f>70</f>
        <v>70</v>
      </c>
      <c r="B71" s="1">
        <f>36</f>
        <v>36</v>
      </c>
      <c r="C71" s="1" t="str">
        <f>"珠算"</f>
        <v>珠算</v>
      </c>
      <c r="D71" s="1" t="str">
        <f>IF(教室申込!F36="","",IFERROR(VALUE(教室申込!F36),""))</f>
        <v/>
      </c>
      <c r="E71" s="1" t="str">
        <f>IF(D71="","",COUNT($D$2:D71))</f>
        <v/>
      </c>
      <c r="F71" s="1" t="str">
        <f>IF(COUNTA(教室申込!$C$4)=0,"",教室申込!$C$4)</f>
        <v/>
      </c>
      <c r="G71" s="1" t="str">
        <f>IF(教室申込!D36="","",IFERROR(DATE(VALUE(LEFT(教室申込!D36,4)),VALUE(MID(教室申込!D36,6,FIND("/",教室申込!D36,6)-6)),VALUE(MID(教室申込!D36,FIND("/",教室申込!D36,6)+1,2))),""))</f>
        <v/>
      </c>
      <c r="H71" s="1"/>
      <c r="I71" s="1"/>
      <c r="J71" s="1"/>
      <c r="K71" s="1"/>
      <c r="L71" s="1"/>
    </row>
    <row r="72" spans="1:12">
      <c r="A72" s="1">
        <f>71</f>
        <v>71</v>
      </c>
      <c r="B72" s="1">
        <f>36</f>
        <v>36</v>
      </c>
      <c r="C72" s="1" t="str">
        <f>"暗算"</f>
        <v>暗算</v>
      </c>
      <c r="D72" s="1" t="str">
        <f>IF(教室申込!G36="","",IFERROR(VALUE(教室申込!G36),""))</f>
        <v/>
      </c>
      <c r="E72" s="1" t="str">
        <f>IF(D72="","",COUNT($D$2:D72))</f>
        <v/>
      </c>
      <c r="F72" s="1" t="str">
        <f>IF(COUNTA(教室申込!$C$4)=0,"",教室申込!$C$4)</f>
        <v/>
      </c>
      <c r="G72" s="1" t="str">
        <f>IF(教室申込!D36="","",IFERROR(DATE(VALUE(LEFT(教室申込!D36,4)),VALUE(MID(教室申込!D36,6,FIND("/",教室申込!D36,6)-6)),VALUE(MID(教室申込!D36,FIND("/",教室申込!D36,6)+1,2))),""))</f>
        <v/>
      </c>
      <c r="H72" s="1"/>
      <c r="I72" s="1"/>
      <c r="J72" s="1"/>
      <c r="K72" s="1"/>
      <c r="L72" s="1"/>
    </row>
    <row r="73" spans="1:12">
      <c r="A73" s="1">
        <f>72</f>
        <v>72</v>
      </c>
      <c r="B73" s="1">
        <f>36</f>
        <v>36</v>
      </c>
      <c r="C73" s="1" t="str">
        <f>"段位認定"</f>
        <v>段位認定</v>
      </c>
      <c r="D73" s="1" t="str">
        <f>IF(教室申込!H36="","",IFERROR(MATCH(教室申込!H36,料金表!$G$6:$G$8,0),""))</f>
        <v/>
      </c>
      <c r="E73" s="1" t="str">
        <f>IF(D73="","",COUNT($D$2:D73))</f>
        <v/>
      </c>
      <c r="F73" s="1" t="str">
        <f>IF(COUNTA(教室申込!$C$4)=0,"",教室申込!$C$4)</f>
        <v/>
      </c>
      <c r="G73" s="1" t="str">
        <f>IF(教室申込!D36="","",IFERROR(DATE(VALUE(LEFT(教室申込!D36,4)),VALUE(MID(教室申込!D36,6,FIND("/",教室申込!D36,6)-6)),VALUE(MID(教室申込!D36,FIND("/",教室申込!D36,6)+1,2))),""))</f>
        <v/>
      </c>
      <c r="H73" s="1"/>
      <c r="I73" s="1"/>
      <c r="J73" s="1"/>
      <c r="K73" s="1"/>
      <c r="L73" s="1"/>
    </row>
    <row r="74" spans="1:12">
      <c r="A74" s="1">
        <f>73</f>
        <v>73</v>
      </c>
      <c r="B74" s="1">
        <f>37</f>
        <v>37</v>
      </c>
      <c r="C74" s="1" t="str">
        <f>"珠算"</f>
        <v>珠算</v>
      </c>
      <c r="D74" s="1" t="str">
        <f>IF(教室申込!F37="","",IFERROR(VALUE(教室申込!F37),""))</f>
        <v/>
      </c>
      <c r="E74" s="1" t="str">
        <f>IF(D74="","",COUNT($D$2:D74))</f>
        <v/>
      </c>
      <c r="F74" s="1" t="str">
        <f>IF(COUNTA(教室申込!$C$4)=0,"",教室申込!$C$4)</f>
        <v/>
      </c>
      <c r="G74" s="1" t="str">
        <f>IF(教室申込!D37="","",IFERROR(DATE(VALUE(LEFT(教室申込!D37,4)),VALUE(MID(教室申込!D37,6,FIND("/",教室申込!D37,6)-6)),VALUE(MID(教室申込!D37,FIND("/",教室申込!D37,6)+1,2))),""))</f>
        <v/>
      </c>
      <c r="H74" s="1"/>
      <c r="I74" s="1"/>
      <c r="J74" s="1"/>
      <c r="K74" s="1"/>
      <c r="L74" s="1"/>
    </row>
    <row r="75" spans="1:12">
      <c r="A75" s="1">
        <f>74</f>
        <v>74</v>
      </c>
      <c r="B75" s="1">
        <f>37</f>
        <v>37</v>
      </c>
      <c r="C75" s="1" t="str">
        <f>"暗算"</f>
        <v>暗算</v>
      </c>
      <c r="D75" s="1" t="str">
        <f>IF(教室申込!G37="","",IFERROR(VALUE(教室申込!G37),""))</f>
        <v/>
      </c>
      <c r="E75" s="1" t="str">
        <f>IF(D75="","",COUNT($D$2:D75))</f>
        <v/>
      </c>
      <c r="F75" s="1" t="str">
        <f>IF(COUNTA(教室申込!$C$4)=0,"",教室申込!$C$4)</f>
        <v/>
      </c>
      <c r="G75" s="1" t="str">
        <f>IF(教室申込!D37="","",IFERROR(DATE(VALUE(LEFT(教室申込!D37,4)),VALUE(MID(教室申込!D37,6,FIND("/",教室申込!D37,6)-6)),VALUE(MID(教室申込!D37,FIND("/",教室申込!D37,6)+1,2))),""))</f>
        <v/>
      </c>
      <c r="H75" s="1"/>
      <c r="I75" s="1"/>
      <c r="J75" s="1"/>
      <c r="K75" s="1"/>
      <c r="L75" s="1"/>
    </row>
    <row r="76" spans="1:12">
      <c r="A76" s="1">
        <f>75</f>
        <v>75</v>
      </c>
      <c r="B76" s="1">
        <f>37</f>
        <v>37</v>
      </c>
      <c r="C76" s="1" t="str">
        <f>"段位認定"</f>
        <v>段位認定</v>
      </c>
      <c r="D76" s="1" t="str">
        <f>IF(教室申込!H37="","",IFERROR(MATCH(教室申込!H37,料金表!$G$6:$G$8,0),""))</f>
        <v/>
      </c>
      <c r="E76" s="1" t="str">
        <f>IF(D76="","",COUNT($D$2:D76))</f>
        <v/>
      </c>
      <c r="F76" s="1" t="str">
        <f>IF(COUNTA(教室申込!$C$4)=0,"",教室申込!$C$4)</f>
        <v/>
      </c>
      <c r="G76" s="1" t="str">
        <f>IF(教室申込!D37="","",IFERROR(DATE(VALUE(LEFT(教室申込!D37,4)),VALUE(MID(教室申込!D37,6,FIND("/",教室申込!D37,6)-6)),VALUE(MID(教室申込!D37,FIND("/",教室申込!D37,6)+1,2))),""))</f>
        <v/>
      </c>
      <c r="H76" s="1"/>
      <c r="I76" s="1"/>
      <c r="J76" s="1"/>
      <c r="K76" s="1"/>
      <c r="L76" s="1"/>
    </row>
    <row r="77" spans="1:12">
      <c r="A77" s="1">
        <f>76</f>
        <v>76</v>
      </c>
      <c r="B77" s="1">
        <f>38</f>
        <v>38</v>
      </c>
      <c r="C77" s="1" t="str">
        <f>"珠算"</f>
        <v>珠算</v>
      </c>
      <c r="D77" s="1" t="str">
        <f>IF(教室申込!F38="","",IFERROR(VALUE(教室申込!F38),""))</f>
        <v/>
      </c>
      <c r="E77" s="1" t="str">
        <f>IF(D77="","",COUNT($D$2:D77))</f>
        <v/>
      </c>
      <c r="F77" s="1" t="str">
        <f>IF(COUNTA(教室申込!$C$4)=0,"",教室申込!$C$4)</f>
        <v/>
      </c>
      <c r="G77" s="1" t="str">
        <f>IF(教室申込!D38="","",IFERROR(DATE(VALUE(LEFT(教室申込!D38,4)),VALUE(MID(教室申込!D38,6,FIND("/",教室申込!D38,6)-6)),VALUE(MID(教室申込!D38,FIND("/",教室申込!D38,6)+1,2))),""))</f>
        <v/>
      </c>
      <c r="H77" s="1"/>
      <c r="I77" s="1"/>
      <c r="J77" s="1"/>
      <c r="K77" s="1"/>
      <c r="L77" s="1"/>
    </row>
    <row r="78" spans="1:12">
      <c r="A78" s="1">
        <f>77</f>
        <v>77</v>
      </c>
      <c r="B78" s="1">
        <f>38</f>
        <v>38</v>
      </c>
      <c r="C78" s="1" t="str">
        <f>"暗算"</f>
        <v>暗算</v>
      </c>
      <c r="D78" s="1" t="str">
        <f>IF(教室申込!G38="","",IFERROR(VALUE(教室申込!G38),""))</f>
        <v/>
      </c>
      <c r="E78" s="1" t="str">
        <f>IF(D78="","",COUNT($D$2:D78))</f>
        <v/>
      </c>
      <c r="F78" s="1" t="str">
        <f>IF(COUNTA(教室申込!$C$4)=0,"",教室申込!$C$4)</f>
        <v/>
      </c>
      <c r="G78" s="1" t="str">
        <f>IF(教室申込!D38="","",IFERROR(DATE(VALUE(LEFT(教室申込!D38,4)),VALUE(MID(教室申込!D38,6,FIND("/",教室申込!D38,6)-6)),VALUE(MID(教室申込!D38,FIND("/",教室申込!D38,6)+1,2))),""))</f>
        <v/>
      </c>
      <c r="H78" s="1"/>
      <c r="I78" s="1"/>
      <c r="J78" s="1"/>
      <c r="K78" s="1"/>
      <c r="L78" s="1"/>
    </row>
    <row r="79" spans="1:12">
      <c r="A79" s="1">
        <f>78</f>
        <v>78</v>
      </c>
      <c r="B79" s="1">
        <f>38</f>
        <v>38</v>
      </c>
      <c r="C79" s="1" t="str">
        <f>"段位認定"</f>
        <v>段位認定</v>
      </c>
      <c r="D79" s="1" t="str">
        <f>IF(教室申込!H38="","",IFERROR(MATCH(教室申込!H38,料金表!$G$6:$G$8,0),""))</f>
        <v/>
      </c>
      <c r="E79" s="1" t="str">
        <f>IF(D79="","",COUNT($D$2:D79))</f>
        <v/>
      </c>
      <c r="F79" s="1" t="str">
        <f>IF(COUNTA(教室申込!$C$4)=0,"",教室申込!$C$4)</f>
        <v/>
      </c>
      <c r="G79" s="1" t="str">
        <f>IF(教室申込!D38="","",IFERROR(DATE(VALUE(LEFT(教室申込!D38,4)),VALUE(MID(教室申込!D38,6,FIND("/",教室申込!D38,6)-6)),VALUE(MID(教室申込!D38,FIND("/",教室申込!D38,6)+1,2))),""))</f>
        <v/>
      </c>
      <c r="H79" s="1"/>
      <c r="I79" s="1"/>
      <c r="J79" s="1"/>
      <c r="K79" s="1"/>
      <c r="L79" s="1"/>
    </row>
    <row r="80" spans="1:12">
      <c r="A80" s="1">
        <f>79</f>
        <v>79</v>
      </c>
      <c r="B80" s="1">
        <f>39</f>
        <v>39</v>
      </c>
      <c r="C80" s="1" t="str">
        <f>"珠算"</f>
        <v>珠算</v>
      </c>
      <c r="D80" s="1" t="str">
        <f>IF(教室申込!F39="","",IFERROR(VALUE(教室申込!F39),""))</f>
        <v/>
      </c>
      <c r="E80" s="1" t="str">
        <f>IF(D80="","",COUNT($D$2:D80))</f>
        <v/>
      </c>
      <c r="F80" s="1" t="str">
        <f>IF(COUNTA(教室申込!$C$4)=0,"",教室申込!$C$4)</f>
        <v/>
      </c>
      <c r="G80" s="1" t="str">
        <f>IF(教室申込!D39="","",IFERROR(DATE(VALUE(LEFT(教室申込!D39,4)),VALUE(MID(教室申込!D39,6,FIND("/",教室申込!D39,6)-6)),VALUE(MID(教室申込!D39,FIND("/",教室申込!D39,6)+1,2))),""))</f>
        <v/>
      </c>
      <c r="H80" s="1"/>
      <c r="I80" s="1"/>
      <c r="J80" s="1"/>
      <c r="K80" s="1"/>
      <c r="L80" s="1"/>
    </row>
    <row r="81" spans="1:12">
      <c r="A81" s="1">
        <f>80</f>
        <v>80</v>
      </c>
      <c r="B81" s="1">
        <f>39</f>
        <v>39</v>
      </c>
      <c r="C81" s="1" t="str">
        <f>"暗算"</f>
        <v>暗算</v>
      </c>
      <c r="D81" s="1" t="str">
        <f>IF(教室申込!G39="","",IFERROR(VALUE(教室申込!G39),""))</f>
        <v/>
      </c>
      <c r="E81" s="1" t="str">
        <f>IF(D81="","",COUNT($D$2:D81))</f>
        <v/>
      </c>
      <c r="F81" s="1" t="str">
        <f>IF(COUNTA(教室申込!$C$4)=0,"",教室申込!$C$4)</f>
        <v/>
      </c>
      <c r="G81" s="1" t="str">
        <f>IF(教室申込!D39="","",IFERROR(DATE(VALUE(LEFT(教室申込!D39,4)),VALUE(MID(教室申込!D39,6,FIND("/",教室申込!D39,6)-6)),VALUE(MID(教室申込!D39,FIND("/",教室申込!D39,6)+1,2))),""))</f>
        <v/>
      </c>
      <c r="H81" s="1"/>
      <c r="I81" s="1"/>
      <c r="J81" s="1"/>
      <c r="K81" s="1"/>
      <c r="L81" s="1"/>
    </row>
    <row r="82" spans="1:12">
      <c r="A82" s="1">
        <f>81</f>
        <v>81</v>
      </c>
      <c r="B82" s="1">
        <f>39</f>
        <v>39</v>
      </c>
      <c r="C82" s="1" t="str">
        <f>"段位認定"</f>
        <v>段位認定</v>
      </c>
      <c r="D82" s="1" t="str">
        <f>IF(教室申込!H39="","",IFERROR(MATCH(教室申込!H39,料金表!$G$6:$G$8,0),""))</f>
        <v/>
      </c>
      <c r="E82" s="1" t="str">
        <f>IF(D82="","",COUNT($D$2:D82))</f>
        <v/>
      </c>
      <c r="F82" s="1" t="str">
        <f>IF(COUNTA(教室申込!$C$4)=0,"",教室申込!$C$4)</f>
        <v/>
      </c>
      <c r="G82" s="1" t="str">
        <f>IF(教室申込!D39="","",IFERROR(DATE(VALUE(LEFT(教室申込!D39,4)),VALUE(MID(教室申込!D39,6,FIND("/",教室申込!D39,6)-6)),VALUE(MID(教室申込!D39,FIND("/",教室申込!D39,6)+1,2))),""))</f>
        <v/>
      </c>
      <c r="H82" s="1"/>
      <c r="I82" s="1"/>
      <c r="J82" s="1"/>
      <c r="K82" s="1"/>
      <c r="L82" s="1"/>
    </row>
    <row r="83" spans="1:12">
      <c r="A83" s="1">
        <f>82</f>
        <v>82</v>
      </c>
      <c r="B83" s="1">
        <f>40</f>
        <v>40</v>
      </c>
      <c r="C83" s="1" t="str">
        <f>"珠算"</f>
        <v>珠算</v>
      </c>
      <c r="D83" s="1" t="str">
        <f>IF(教室申込!F40="","",IFERROR(VALUE(教室申込!F40),""))</f>
        <v/>
      </c>
      <c r="E83" s="1" t="str">
        <f>IF(D83="","",COUNT($D$2:D83))</f>
        <v/>
      </c>
      <c r="F83" s="1" t="str">
        <f>IF(COUNTA(教室申込!$C$4)=0,"",教室申込!$C$4)</f>
        <v/>
      </c>
      <c r="G83" s="1" t="str">
        <f>IF(教室申込!D40="","",IFERROR(DATE(VALUE(LEFT(教室申込!D40,4)),VALUE(MID(教室申込!D40,6,FIND("/",教室申込!D40,6)-6)),VALUE(MID(教室申込!D40,FIND("/",教室申込!D40,6)+1,2))),""))</f>
        <v/>
      </c>
      <c r="H83" s="1"/>
      <c r="I83" s="1"/>
      <c r="J83" s="1"/>
      <c r="K83" s="1"/>
      <c r="L83" s="1"/>
    </row>
    <row r="84" spans="1:12">
      <c r="A84" s="1">
        <f>83</f>
        <v>83</v>
      </c>
      <c r="B84" s="1">
        <f>40</f>
        <v>40</v>
      </c>
      <c r="C84" s="1" t="str">
        <f>"暗算"</f>
        <v>暗算</v>
      </c>
      <c r="D84" s="1" t="str">
        <f>IF(教室申込!G40="","",IFERROR(VALUE(教室申込!G40),""))</f>
        <v/>
      </c>
      <c r="E84" s="1" t="str">
        <f>IF(D84="","",COUNT($D$2:D84))</f>
        <v/>
      </c>
      <c r="F84" s="1" t="str">
        <f>IF(COUNTA(教室申込!$C$4)=0,"",教室申込!$C$4)</f>
        <v/>
      </c>
      <c r="G84" s="1" t="str">
        <f>IF(教室申込!D40="","",IFERROR(DATE(VALUE(LEFT(教室申込!D40,4)),VALUE(MID(教室申込!D40,6,FIND("/",教室申込!D40,6)-6)),VALUE(MID(教室申込!D40,FIND("/",教室申込!D40,6)+1,2))),""))</f>
        <v/>
      </c>
      <c r="H84" s="1"/>
      <c r="I84" s="1"/>
      <c r="J84" s="1"/>
      <c r="K84" s="1"/>
      <c r="L84" s="1"/>
    </row>
    <row r="85" spans="1:12">
      <c r="A85" s="1">
        <f>84</f>
        <v>84</v>
      </c>
      <c r="B85" s="1">
        <f>40</f>
        <v>40</v>
      </c>
      <c r="C85" s="1" t="str">
        <f>"段位認定"</f>
        <v>段位認定</v>
      </c>
      <c r="D85" s="1" t="str">
        <f>IF(教室申込!H40="","",IFERROR(MATCH(教室申込!H40,料金表!$G$6:$G$8,0),""))</f>
        <v/>
      </c>
      <c r="E85" s="1" t="str">
        <f>IF(D85="","",COUNT($D$2:D85))</f>
        <v/>
      </c>
      <c r="F85" s="1" t="str">
        <f>IF(COUNTA(教室申込!$C$4)=0,"",教室申込!$C$4)</f>
        <v/>
      </c>
      <c r="G85" s="1" t="str">
        <f>IF(教室申込!D40="","",IFERROR(DATE(VALUE(LEFT(教室申込!D40,4)),VALUE(MID(教室申込!D40,6,FIND("/",教室申込!D40,6)-6)),VALUE(MID(教室申込!D40,FIND("/",教室申込!D40,6)+1,2))),""))</f>
        <v/>
      </c>
      <c r="H85" s="1"/>
      <c r="I85" s="1"/>
      <c r="J85" s="1"/>
      <c r="K85" s="1"/>
      <c r="L85" s="1"/>
    </row>
    <row r="86" spans="1:12">
      <c r="A86" s="1">
        <f>85</f>
        <v>85</v>
      </c>
      <c r="B86" s="1">
        <f>41</f>
        <v>41</v>
      </c>
      <c r="C86" s="1" t="str">
        <f>"珠算"</f>
        <v>珠算</v>
      </c>
      <c r="D86" s="1" t="str">
        <f>IF(教室申込!F41="","",IFERROR(VALUE(教室申込!F41),""))</f>
        <v/>
      </c>
      <c r="E86" s="1" t="str">
        <f>IF(D86="","",COUNT($D$2:D86))</f>
        <v/>
      </c>
      <c r="F86" s="1" t="str">
        <f>IF(COUNTA(教室申込!$C$4)=0,"",教室申込!$C$4)</f>
        <v/>
      </c>
      <c r="G86" s="1" t="str">
        <f>IF(教室申込!D41="","",IFERROR(DATE(VALUE(LEFT(教室申込!D41,4)),VALUE(MID(教室申込!D41,6,FIND("/",教室申込!D41,6)-6)),VALUE(MID(教室申込!D41,FIND("/",教室申込!D41,6)+1,2))),""))</f>
        <v/>
      </c>
      <c r="H86" s="1"/>
      <c r="I86" s="1"/>
      <c r="J86" s="1"/>
      <c r="K86" s="1"/>
      <c r="L86" s="1"/>
    </row>
    <row r="87" spans="1:12">
      <c r="A87" s="1">
        <f>86</f>
        <v>86</v>
      </c>
      <c r="B87" s="1">
        <f>41</f>
        <v>41</v>
      </c>
      <c r="C87" s="1" t="str">
        <f>"暗算"</f>
        <v>暗算</v>
      </c>
      <c r="D87" s="1" t="str">
        <f>IF(教室申込!G41="","",IFERROR(VALUE(教室申込!G41),""))</f>
        <v/>
      </c>
      <c r="E87" s="1" t="str">
        <f>IF(D87="","",COUNT($D$2:D87))</f>
        <v/>
      </c>
      <c r="F87" s="1" t="str">
        <f>IF(COUNTA(教室申込!$C$4)=0,"",教室申込!$C$4)</f>
        <v/>
      </c>
      <c r="G87" s="1" t="str">
        <f>IF(教室申込!D41="","",IFERROR(DATE(VALUE(LEFT(教室申込!D41,4)),VALUE(MID(教室申込!D41,6,FIND("/",教室申込!D41,6)-6)),VALUE(MID(教室申込!D41,FIND("/",教室申込!D41,6)+1,2))),""))</f>
        <v/>
      </c>
      <c r="H87" s="1"/>
      <c r="I87" s="1"/>
      <c r="J87" s="1"/>
      <c r="K87" s="1"/>
      <c r="L87" s="1"/>
    </row>
    <row r="88" spans="1:12">
      <c r="A88" s="1">
        <f>87</f>
        <v>87</v>
      </c>
      <c r="B88" s="1">
        <f>41</f>
        <v>41</v>
      </c>
      <c r="C88" s="1" t="str">
        <f>"段位認定"</f>
        <v>段位認定</v>
      </c>
      <c r="D88" s="1" t="str">
        <f>IF(教室申込!H41="","",IFERROR(MATCH(教室申込!H41,料金表!$G$6:$G$8,0),""))</f>
        <v/>
      </c>
      <c r="E88" s="1" t="str">
        <f>IF(D88="","",COUNT($D$2:D88))</f>
        <v/>
      </c>
      <c r="F88" s="1" t="str">
        <f>IF(COUNTA(教室申込!$C$4)=0,"",教室申込!$C$4)</f>
        <v/>
      </c>
      <c r="G88" s="1" t="str">
        <f>IF(教室申込!D41="","",IFERROR(DATE(VALUE(LEFT(教室申込!D41,4)),VALUE(MID(教室申込!D41,6,FIND("/",教室申込!D41,6)-6)),VALUE(MID(教室申込!D41,FIND("/",教室申込!D41,6)+1,2))),""))</f>
        <v/>
      </c>
      <c r="H88" s="1"/>
      <c r="I88" s="1"/>
      <c r="J88" s="1"/>
      <c r="K88" s="1"/>
      <c r="L88" s="1"/>
    </row>
    <row r="89" spans="1:12">
      <c r="A89" s="1">
        <f>88</f>
        <v>88</v>
      </c>
      <c r="B89" s="1">
        <f>42</f>
        <v>42</v>
      </c>
      <c r="C89" s="1" t="str">
        <f>"珠算"</f>
        <v>珠算</v>
      </c>
      <c r="D89" s="1" t="str">
        <f>IF(教室申込!F42="","",IFERROR(VALUE(教室申込!F42),""))</f>
        <v/>
      </c>
      <c r="E89" s="1" t="str">
        <f>IF(D89="","",COUNT($D$2:D89))</f>
        <v/>
      </c>
      <c r="F89" s="1" t="str">
        <f>IF(COUNTA(教室申込!$C$4)=0,"",教室申込!$C$4)</f>
        <v/>
      </c>
      <c r="G89" s="1" t="str">
        <f>IF(教室申込!D42="","",IFERROR(DATE(VALUE(LEFT(教室申込!D42,4)),VALUE(MID(教室申込!D42,6,FIND("/",教室申込!D42,6)-6)),VALUE(MID(教室申込!D42,FIND("/",教室申込!D42,6)+1,2))),""))</f>
        <v/>
      </c>
      <c r="H89" s="1"/>
      <c r="I89" s="1"/>
      <c r="J89" s="1"/>
      <c r="K89" s="1"/>
      <c r="L89" s="1"/>
    </row>
    <row r="90" spans="1:12">
      <c r="A90" s="1">
        <f>89</f>
        <v>89</v>
      </c>
      <c r="B90" s="1">
        <f>42</f>
        <v>42</v>
      </c>
      <c r="C90" s="1" t="str">
        <f>"暗算"</f>
        <v>暗算</v>
      </c>
      <c r="D90" s="1" t="str">
        <f>IF(教室申込!G42="","",IFERROR(VALUE(教室申込!G42),""))</f>
        <v/>
      </c>
      <c r="E90" s="1" t="str">
        <f>IF(D90="","",COUNT($D$2:D90))</f>
        <v/>
      </c>
      <c r="F90" s="1" t="str">
        <f>IF(COUNTA(教室申込!$C$4)=0,"",教室申込!$C$4)</f>
        <v/>
      </c>
      <c r="G90" s="1" t="str">
        <f>IF(教室申込!D42="","",IFERROR(DATE(VALUE(LEFT(教室申込!D42,4)),VALUE(MID(教室申込!D42,6,FIND("/",教室申込!D42,6)-6)),VALUE(MID(教室申込!D42,FIND("/",教室申込!D42,6)+1,2))),""))</f>
        <v/>
      </c>
      <c r="H90" s="1"/>
      <c r="I90" s="1"/>
      <c r="J90" s="1"/>
      <c r="K90" s="1"/>
      <c r="L90" s="1"/>
    </row>
    <row r="91" spans="1:12">
      <c r="A91" s="1">
        <f>90</f>
        <v>90</v>
      </c>
      <c r="B91" s="1">
        <f>42</f>
        <v>42</v>
      </c>
      <c r="C91" s="1" t="str">
        <f>"段位認定"</f>
        <v>段位認定</v>
      </c>
      <c r="D91" s="1" t="str">
        <f>IF(教室申込!H42="","",IFERROR(MATCH(教室申込!H42,料金表!$G$6:$G$8,0),""))</f>
        <v/>
      </c>
      <c r="E91" s="1" t="str">
        <f>IF(D91="","",COUNT($D$2:D91))</f>
        <v/>
      </c>
      <c r="F91" s="1" t="str">
        <f>IF(COUNTA(教室申込!$C$4)=0,"",教室申込!$C$4)</f>
        <v/>
      </c>
      <c r="G91" s="1" t="str">
        <f>IF(教室申込!D42="","",IFERROR(DATE(VALUE(LEFT(教室申込!D42,4)),VALUE(MID(教室申込!D42,6,FIND("/",教室申込!D42,6)-6)),VALUE(MID(教室申込!D42,FIND("/",教室申込!D42,6)+1,2))),""))</f>
        <v/>
      </c>
      <c r="H91" s="1"/>
      <c r="I91" s="1"/>
      <c r="J91" s="1"/>
      <c r="K91" s="1"/>
      <c r="L91" s="1"/>
    </row>
    <row r="92" spans="1:12">
      <c r="A92" s="1">
        <f>91</f>
        <v>91</v>
      </c>
      <c r="B92" s="1">
        <f>43</f>
        <v>43</v>
      </c>
      <c r="C92" s="1" t="str">
        <f>"珠算"</f>
        <v>珠算</v>
      </c>
      <c r="D92" s="1" t="str">
        <f>IF(教室申込!F43="","",IFERROR(VALUE(教室申込!F43),""))</f>
        <v/>
      </c>
      <c r="E92" s="1" t="str">
        <f>IF(D92="","",COUNT($D$2:D92))</f>
        <v/>
      </c>
      <c r="F92" s="1" t="str">
        <f>IF(COUNTA(教室申込!$C$4)=0,"",教室申込!$C$4)</f>
        <v/>
      </c>
      <c r="G92" s="1" t="str">
        <f>IF(教室申込!D43="","",IFERROR(DATE(VALUE(LEFT(教室申込!D43,4)),VALUE(MID(教室申込!D43,6,FIND("/",教室申込!D43,6)-6)),VALUE(MID(教室申込!D43,FIND("/",教室申込!D43,6)+1,2))),""))</f>
        <v/>
      </c>
      <c r="H92" s="1"/>
      <c r="I92" s="1"/>
      <c r="J92" s="1"/>
      <c r="K92" s="1"/>
      <c r="L92" s="1"/>
    </row>
    <row r="93" spans="1:12">
      <c r="A93" s="1">
        <f>92</f>
        <v>92</v>
      </c>
      <c r="B93" s="1">
        <f>43</f>
        <v>43</v>
      </c>
      <c r="C93" s="1" t="str">
        <f>"暗算"</f>
        <v>暗算</v>
      </c>
      <c r="D93" s="1" t="str">
        <f>IF(教室申込!G43="","",IFERROR(VALUE(教室申込!G43),""))</f>
        <v/>
      </c>
      <c r="E93" s="1" t="str">
        <f>IF(D93="","",COUNT($D$2:D93))</f>
        <v/>
      </c>
      <c r="F93" s="1" t="str">
        <f>IF(COUNTA(教室申込!$C$4)=0,"",教室申込!$C$4)</f>
        <v/>
      </c>
      <c r="G93" s="1" t="str">
        <f>IF(教室申込!D43="","",IFERROR(DATE(VALUE(LEFT(教室申込!D43,4)),VALUE(MID(教室申込!D43,6,FIND("/",教室申込!D43,6)-6)),VALUE(MID(教室申込!D43,FIND("/",教室申込!D43,6)+1,2))),""))</f>
        <v/>
      </c>
      <c r="H93" s="1"/>
      <c r="I93" s="1"/>
      <c r="J93" s="1"/>
      <c r="K93" s="1"/>
      <c r="L93" s="1"/>
    </row>
    <row r="94" spans="1:12">
      <c r="A94" s="1">
        <f>93</f>
        <v>93</v>
      </c>
      <c r="B94" s="1">
        <f>43</f>
        <v>43</v>
      </c>
      <c r="C94" s="1" t="str">
        <f>"段位認定"</f>
        <v>段位認定</v>
      </c>
      <c r="D94" s="1" t="str">
        <f>IF(教室申込!H43="","",IFERROR(MATCH(教室申込!H43,料金表!$G$6:$G$8,0),""))</f>
        <v/>
      </c>
      <c r="E94" s="1" t="str">
        <f>IF(D94="","",COUNT($D$2:D94))</f>
        <v/>
      </c>
      <c r="F94" s="1" t="str">
        <f>IF(COUNTA(教室申込!$C$4)=0,"",教室申込!$C$4)</f>
        <v/>
      </c>
      <c r="G94" s="1" t="str">
        <f>IF(教室申込!D43="","",IFERROR(DATE(VALUE(LEFT(教室申込!D43,4)),VALUE(MID(教室申込!D43,6,FIND("/",教室申込!D43,6)-6)),VALUE(MID(教室申込!D43,FIND("/",教室申込!D43,6)+1,2))),""))</f>
        <v/>
      </c>
      <c r="H94" s="1"/>
      <c r="I94" s="1"/>
      <c r="J94" s="1"/>
      <c r="K94" s="1"/>
      <c r="L94" s="1"/>
    </row>
    <row r="95" spans="1:12">
      <c r="A95" s="1">
        <f>94</f>
        <v>94</v>
      </c>
      <c r="B95" s="1">
        <f>44</f>
        <v>44</v>
      </c>
      <c r="C95" s="1" t="str">
        <f>"珠算"</f>
        <v>珠算</v>
      </c>
      <c r="D95" s="1" t="str">
        <f>IF(教室申込!F44="","",IFERROR(VALUE(教室申込!F44),""))</f>
        <v/>
      </c>
      <c r="E95" s="1" t="str">
        <f>IF(D95="","",COUNT($D$2:D95))</f>
        <v/>
      </c>
      <c r="F95" s="1" t="str">
        <f>IF(COUNTA(教室申込!$C$4)=0,"",教室申込!$C$4)</f>
        <v/>
      </c>
      <c r="G95" s="1" t="str">
        <f>IF(教室申込!D44="","",IFERROR(DATE(VALUE(LEFT(教室申込!D44,4)),VALUE(MID(教室申込!D44,6,FIND("/",教室申込!D44,6)-6)),VALUE(MID(教室申込!D44,FIND("/",教室申込!D44,6)+1,2))),""))</f>
        <v/>
      </c>
      <c r="H95" s="1"/>
      <c r="I95" s="1"/>
      <c r="J95" s="1"/>
      <c r="K95" s="1"/>
      <c r="L95" s="1"/>
    </row>
    <row r="96" spans="1:12">
      <c r="A96" s="1">
        <f>95</f>
        <v>95</v>
      </c>
      <c r="B96" s="1">
        <f>44</f>
        <v>44</v>
      </c>
      <c r="C96" s="1" t="str">
        <f>"暗算"</f>
        <v>暗算</v>
      </c>
      <c r="D96" s="1" t="str">
        <f>IF(教室申込!G44="","",IFERROR(VALUE(教室申込!G44),""))</f>
        <v/>
      </c>
      <c r="E96" s="1" t="str">
        <f>IF(D96="","",COUNT($D$2:D96))</f>
        <v/>
      </c>
      <c r="F96" s="1" t="str">
        <f>IF(COUNTA(教室申込!$C$4)=0,"",教室申込!$C$4)</f>
        <v/>
      </c>
      <c r="G96" s="1" t="str">
        <f>IF(教室申込!D44="","",IFERROR(DATE(VALUE(LEFT(教室申込!D44,4)),VALUE(MID(教室申込!D44,6,FIND("/",教室申込!D44,6)-6)),VALUE(MID(教室申込!D44,FIND("/",教室申込!D44,6)+1,2))),""))</f>
        <v/>
      </c>
      <c r="H96" s="1"/>
      <c r="I96" s="1"/>
      <c r="J96" s="1"/>
      <c r="K96" s="1"/>
      <c r="L96" s="1"/>
    </row>
    <row r="97" spans="1:12">
      <c r="A97" s="1">
        <f>96</f>
        <v>96</v>
      </c>
      <c r="B97" s="1">
        <f>44</f>
        <v>44</v>
      </c>
      <c r="C97" s="1" t="str">
        <f>"段位認定"</f>
        <v>段位認定</v>
      </c>
      <c r="D97" s="1" t="str">
        <f>IF(教室申込!H44="","",IFERROR(MATCH(教室申込!H44,料金表!$G$6:$G$8,0),""))</f>
        <v/>
      </c>
      <c r="E97" s="1" t="str">
        <f>IF(D97="","",COUNT($D$2:D97))</f>
        <v/>
      </c>
      <c r="F97" s="1" t="str">
        <f>IF(COUNTA(教室申込!$C$4)=0,"",教室申込!$C$4)</f>
        <v/>
      </c>
      <c r="G97" s="1" t="str">
        <f>IF(教室申込!D44="","",IFERROR(DATE(VALUE(LEFT(教室申込!D44,4)),VALUE(MID(教室申込!D44,6,FIND("/",教室申込!D44,6)-6)),VALUE(MID(教室申込!D44,FIND("/",教室申込!D44,6)+1,2))),""))</f>
        <v/>
      </c>
      <c r="H97" s="1"/>
      <c r="I97" s="1"/>
      <c r="J97" s="1"/>
      <c r="K97" s="1"/>
      <c r="L97" s="1"/>
    </row>
    <row r="98" spans="1:12">
      <c r="A98" s="1">
        <f>97</f>
        <v>97</v>
      </c>
      <c r="B98" s="1">
        <f>45</f>
        <v>45</v>
      </c>
      <c r="C98" s="1" t="str">
        <f>"珠算"</f>
        <v>珠算</v>
      </c>
      <c r="D98" s="1" t="str">
        <f>IF(教室申込!F45="","",IFERROR(VALUE(教室申込!F45),""))</f>
        <v/>
      </c>
      <c r="E98" s="1" t="str">
        <f>IF(D98="","",COUNT($D$2:D98))</f>
        <v/>
      </c>
      <c r="F98" s="1" t="str">
        <f>IF(COUNTA(教室申込!$C$4)=0,"",教室申込!$C$4)</f>
        <v/>
      </c>
      <c r="G98" s="1" t="str">
        <f>IF(教室申込!D45="","",IFERROR(DATE(VALUE(LEFT(教室申込!D45,4)),VALUE(MID(教室申込!D45,6,FIND("/",教室申込!D45,6)-6)),VALUE(MID(教室申込!D45,FIND("/",教室申込!D45,6)+1,2))),""))</f>
        <v/>
      </c>
      <c r="H98" s="1"/>
      <c r="I98" s="1"/>
      <c r="J98" s="1"/>
      <c r="K98" s="1"/>
      <c r="L98" s="1"/>
    </row>
    <row r="99" spans="1:12">
      <c r="A99" s="1">
        <f>98</f>
        <v>98</v>
      </c>
      <c r="B99" s="1">
        <f>45</f>
        <v>45</v>
      </c>
      <c r="C99" s="1" t="str">
        <f>"暗算"</f>
        <v>暗算</v>
      </c>
      <c r="D99" s="1" t="str">
        <f>IF(教室申込!G45="","",IFERROR(VALUE(教室申込!G45),""))</f>
        <v/>
      </c>
      <c r="E99" s="1" t="str">
        <f>IF(D99="","",COUNT($D$2:D99))</f>
        <v/>
      </c>
      <c r="F99" s="1" t="str">
        <f>IF(COUNTA(教室申込!$C$4)=0,"",教室申込!$C$4)</f>
        <v/>
      </c>
      <c r="G99" s="1" t="str">
        <f>IF(教室申込!D45="","",IFERROR(DATE(VALUE(LEFT(教室申込!D45,4)),VALUE(MID(教室申込!D45,6,FIND("/",教室申込!D45,6)-6)),VALUE(MID(教室申込!D45,FIND("/",教室申込!D45,6)+1,2))),""))</f>
        <v/>
      </c>
      <c r="H99" s="1"/>
      <c r="I99" s="1"/>
      <c r="J99" s="1"/>
      <c r="K99" s="1"/>
      <c r="L99" s="1"/>
    </row>
    <row r="100" spans="1:12">
      <c r="A100" s="1">
        <f>99</f>
        <v>99</v>
      </c>
      <c r="B100" s="1">
        <f>45</f>
        <v>45</v>
      </c>
      <c r="C100" s="1" t="str">
        <f>"段位認定"</f>
        <v>段位認定</v>
      </c>
      <c r="D100" s="1" t="str">
        <f>IF(教室申込!H45="","",IFERROR(MATCH(教室申込!H45,料金表!$G$6:$G$8,0),""))</f>
        <v/>
      </c>
      <c r="E100" s="1" t="str">
        <f>IF(D100="","",COUNT($D$2:D100))</f>
        <v/>
      </c>
      <c r="F100" s="1" t="str">
        <f>IF(COUNTA(教室申込!$C$4)=0,"",教室申込!$C$4)</f>
        <v/>
      </c>
      <c r="G100" s="1" t="str">
        <f>IF(教室申込!D45="","",IFERROR(DATE(VALUE(LEFT(教室申込!D45,4)),VALUE(MID(教室申込!D45,6,FIND("/",教室申込!D45,6)-6)),VALUE(MID(教室申込!D45,FIND("/",教室申込!D45,6)+1,2))),""))</f>
        <v/>
      </c>
      <c r="H100" s="1"/>
      <c r="I100" s="1"/>
      <c r="J100" s="1"/>
      <c r="K100" s="1"/>
      <c r="L100" s="1"/>
    </row>
    <row r="101" spans="1:12">
      <c r="A101" s="1">
        <f>100</f>
        <v>100</v>
      </c>
      <c r="B101" s="1">
        <f>46</f>
        <v>46</v>
      </c>
      <c r="C101" s="1" t="str">
        <f>"珠算"</f>
        <v>珠算</v>
      </c>
      <c r="D101" s="1" t="str">
        <f>IF(教室申込!F46="","",IFERROR(VALUE(教室申込!F46),""))</f>
        <v/>
      </c>
      <c r="E101" s="1" t="str">
        <f>IF(D101="","",COUNT($D$2:D101))</f>
        <v/>
      </c>
      <c r="F101" s="1" t="str">
        <f>IF(COUNTA(教室申込!$C$4)=0,"",教室申込!$C$4)</f>
        <v/>
      </c>
      <c r="G101" s="1" t="str">
        <f>IF(教室申込!D46="","",IFERROR(DATE(VALUE(LEFT(教室申込!D46,4)),VALUE(MID(教室申込!D46,6,FIND("/",教室申込!D46,6)-6)),VALUE(MID(教室申込!D46,FIND("/",教室申込!D46,6)+1,2))),""))</f>
        <v/>
      </c>
      <c r="H101" s="1"/>
      <c r="I101" s="1"/>
      <c r="J101" s="1"/>
      <c r="K101" s="1"/>
      <c r="L101" s="1"/>
    </row>
    <row r="102" spans="1:12">
      <c r="A102" s="1">
        <f>101</f>
        <v>101</v>
      </c>
      <c r="B102" s="1">
        <f>46</f>
        <v>46</v>
      </c>
      <c r="C102" s="1" t="str">
        <f>"暗算"</f>
        <v>暗算</v>
      </c>
      <c r="D102" s="1" t="str">
        <f>IF(教室申込!G46="","",IFERROR(VALUE(教室申込!G46),""))</f>
        <v/>
      </c>
      <c r="E102" s="1" t="str">
        <f>IF(D102="","",COUNT($D$2:D102))</f>
        <v/>
      </c>
      <c r="F102" s="1" t="str">
        <f>IF(COUNTA(教室申込!$C$4)=0,"",教室申込!$C$4)</f>
        <v/>
      </c>
      <c r="G102" s="1" t="str">
        <f>IF(教室申込!D46="","",IFERROR(DATE(VALUE(LEFT(教室申込!D46,4)),VALUE(MID(教室申込!D46,6,FIND("/",教室申込!D46,6)-6)),VALUE(MID(教室申込!D46,FIND("/",教室申込!D46,6)+1,2))),""))</f>
        <v/>
      </c>
      <c r="H102" s="1"/>
      <c r="I102" s="1"/>
      <c r="J102" s="1"/>
      <c r="K102" s="1"/>
      <c r="L102" s="1"/>
    </row>
    <row r="103" spans="1:12">
      <c r="A103" s="1">
        <f>102</f>
        <v>102</v>
      </c>
      <c r="B103" s="1">
        <f>46</f>
        <v>46</v>
      </c>
      <c r="C103" s="1" t="str">
        <f>"段位認定"</f>
        <v>段位認定</v>
      </c>
      <c r="D103" s="1" t="str">
        <f>IF(教室申込!H46="","",IFERROR(MATCH(教室申込!H46,料金表!$G$6:$G$8,0),""))</f>
        <v/>
      </c>
      <c r="E103" s="1" t="str">
        <f>IF(D103="","",COUNT($D$2:D103))</f>
        <v/>
      </c>
      <c r="F103" s="1" t="str">
        <f>IF(COUNTA(教室申込!$C$4)=0,"",教室申込!$C$4)</f>
        <v/>
      </c>
      <c r="G103" s="1" t="str">
        <f>IF(教室申込!D46="","",IFERROR(DATE(VALUE(LEFT(教室申込!D46,4)),VALUE(MID(教室申込!D46,6,FIND("/",教室申込!D46,6)-6)),VALUE(MID(教室申込!D46,FIND("/",教室申込!D46,6)+1,2))),""))</f>
        <v/>
      </c>
      <c r="H103" s="1"/>
      <c r="I103" s="1"/>
      <c r="J103" s="1"/>
      <c r="K103" s="1"/>
      <c r="L103" s="1"/>
    </row>
    <row r="104" spans="1:12">
      <c r="A104" s="1">
        <f>103</f>
        <v>103</v>
      </c>
      <c r="B104" s="1">
        <f>47</f>
        <v>47</v>
      </c>
      <c r="C104" s="1" t="str">
        <f>"珠算"</f>
        <v>珠算</v>
      </c>
      <c r="D104" s="1" t="str">
        <f>IF(教室申込!F47="","",IFERROR(VALUE(教室申込!F47),""))</f>
        <v/>
      </c>
      <c r="E104" s="1" t="str">
        <f>IF(D104="","",COUNT($D$2:D104))</f>
        <v/>
      </c>
      <c r="F104" s="1" t="str">
        <f>IF(COUNTA(教室申込!$C$4)=0,"",教室申込!$C$4)</f>
        <v/>
      </c>
      <c r="G104" s="1" t="str">
        <f>IF(教室申込!D47="","",IFERROR(DATE(VALUE(LEFT(教室申込!D47,4)),VALUE(MID(教室申込!D47,6,FIND("/",教室申込!D47,6)-6)),VALUE(MID(教室申込!D47,FIND("/",教室申込!D47,6)+1,2))),""))</f>
        <v/>
      </c>
      <c r="H104" s="1"/>
      <c r="I104" s="1"/>
      <c r="J104" s="1"/>
      <c r="K104" s="1"/>
      <c r="L104" s="1"/>
    </row>
    <row r="105" spans="1:12">
      <c r="A105" s="1">
        <f>104</f>
        <v>104</v>
      </c>
      <c r="B105" s="1">
        <f>47</f>
        <v>47</v>
      </c>
      <c r="C105" s="1" t="str">
        <f>"暗算"</f>
        <v>暗算</v>
      </c>
      <c r="D105" s="1" t="str">
        <f>IF(教室申込!G47="","",IFERROR(VALUE(教室申込!G47),""))</f>
        <v/>
      </c>
      <c r="E105" s="1" t="str">
        <f>IF(D105="","",COUNT($D$2:D105))</f>
        <v/>
      </c>
      <c r="F105" s="1" t="str">
        <f>IF(COUNTA(教室申込!$C$4)=0,"",教室申込!$C$4)</f>
        <v/>
      </c>
      <c r="G105" s="1" t="str">
        <f>IF(教室申込!D47="","",IFERROR(DATE(VALUE(LEFT(教室申込!D47,4)),VALUE(MID(教室申込!D47,6,FIND("/",教室申込!D47,6)-6)),VALUE(MID(教室申込!D47,FIND("/",教室申込!D47,6)+1,2))),""))</f>
        <v/>
      </c>
      <c r="H105" s="1"/>
      <c r="I105" s="1"/>
      <c r="J105" s="1"/>
      <c r="K105" s="1"/>
      <c r="L105" s="1"/>
    </row>
    <row r="106" spans="1:12">
      <c r="A106" s="1">
        <f>105</f>
        <v>105</v>
      </c>
      <c r="B106" s="1">
        <f>47</f>
        <v>47</v>
      </c>
      <c r="C106" s="1" t="str">
        <f>"段位認定"</f>
        <v>段位認定</v>
      </c>
      <c r="D106" s="1" t="str">
        <f>IF(教室申込!H47="","",IFERROR(MATCH(教室申込!H47,料金表!$G$6:$G$8,0),""))</f>
        <v/>
      </c>
      <c r="E106" s="1" t="str">
        <f>IF(D106="","",COUNT($D$2:D106))</f>
        <v/>
      </c>
      <c r="F106" s="1" t="str">
        <f>IF(COUNTA(教室申込!$C$4)=0,"",教室申込!$C$4)</f>
        <v/>
      </c>
      <c r="G106" s="1" t="str">
        <f>IF(教室申込!D47="","",IFERROR(DATE(VALUE(LEFT(教室申込!D47,4)),VALUE(MID(教室申込!D47,6,FIND("/",教室申込!D47,6)-6)),VALUE(MID(教室申込!D47,FIND("/",教室申込!D47,6)+1,2))),""))</f>
        <v/>
      </c>
      <c r="H106" s="1"/>
      <c r="I106" s="1"/>
      <c r="J106" s="1"/>
      <c r="K106" s="1"/>
      <c r="L106" s="1"/>
    </row>
    <row r="107" spans="1:12">
      <c r="A107" s="1">
        <f>106</f>
        <v>106</v>
      </c>
      <c r="B107" s="1">
        <f>48</f>
        <v>48</v>
      </c>
      <c r="C107" s="1" t="str">
        <f>"珠算"</f>
        <v>珠算</v>
      </c>
      <c r="D107" s="1" t="str">
        <f>IF(教室申込!F48="","",IFERROR(VALUE(教室申込!F48),""))</f>
        <v/>
      </c>
      <c r="E107" s="1" t="str">
        <f>IF(D107="","",COUNT($D$2:D107))</f>
        <v/>
      </c>
      <c r="F107" s="1" t="str">
        <f>IF(COUNTA(教室申込!$C$4)=0,"",教室申込!$C$4)</f>
        <v/>
      </c>
      <c r="G107" s="1" t="str">
        <f>IF(教室申込!D48="","",IFERROR(DATE(VALUE(LEFT(教室申込!D48,4)),VALUE(MID(教室申込!D48,6,FIND("/",教室申込!D48,6)-6)),VALUE(MID(教室申込!D48,FIND("/",教室申込!D48,6)+1,2))),""))</f>
        <v/>
      </c>
      <c r="H107" s="1"/>
      <c r="I107" s="1"/>
      <c r="J107" s="1"/>
      <c r="K107" s="1"/>
      <c r="L107" s="1"/>
    </row>
    <row r="108" spans="1:12">
      <c r="A108" s="1">
        <f>107</f>
        <v>107</v>
      </c>
      <c r="B108" s="1">
        <f>48</f>
        <v>48</v>
      </c>
      <c r="C108" s="1" t="str">
        <f>"暗算"</f>
        <v>暗算</v>
      </c>
      <c r="D108" s="1" t="str">
        <f>IF(教室申込!G48="","",IFERROR(VALUE(教室申込!G48),""))</f>
        <v/>
      </c>
      <c r="E108" s="1" t="str">
        <f>IF(D108="","",COUNT($D$2:D108))</f>
        <v/>
      </c>
      <c r="F108" s="1" t="str">
        <f>IF(COUNTA(教室申込!$C$4)=0,"",教室申込!$C$4)</f>
        <v/>
      </c>
      <c r="G108" s="1" t="str">
        <f>IF(教室申込!D48="","",IFERROR(DATE(VALUE(LEFT(教室申込!D48,4)),VALUE(MID(教室申込!D48,6,FIND("/",教室申込!D48,6)-6)),VALUE(MID(教室申込!D48,FIND("/",教室申込!D48,6)+1,2))),""))</f>
        <v/>
      </c>
      <c r="H108" s="1"/>
      <c r="I108" s="1"/>
      <c r="J108" s="1"/>
      <c r="K108" s="1"/>
      <c r="L108" s="1"/>
    </row>
    <row r="109" spans="1:12">
      <c r="A109" s="1">
        <f>108</f>
        <v>108</v>
      </c>
      <c r="B109" s="1">
        <f>48</f>
        <v>48</v>
      </c>
      <c r="C109" s="1" t="str">
        <f>"段位認定"</f>
        <v>段位認定</v>
      </c>
      <c r="D109" s="1" t="str">
        <f>IF(教室申込!H48="","",IFERROR(MATCH(教室申込!H48,料金表!$G$6:$G$8,0),""))</f>
        <v/>
      </c>
      <c r="E109" s="1" t="str">
        <f>IF(D109="","",COUNT($D$2:D109))</f>
        <v/>
      </c>
      <c r="F109" s="1" t="str">
        <f>IF(COUNTA(教室申込!$C$4)=0,"",教室申込!$C$4)</f>
        <v/>
      </c>
      <c r="G109" s="1" t="str">
        <f>IF(教室申込!D48="","",IFERROR(DATE(VALUE(LEFT(教室申込!D48,4)),VALUE(MID(教室申込!D48,6,FIND("/",教室申込!D48,6)-6)),VALUE(MID(教室申込!D48,FIND("/",教室申込!D48,6)+1,2))),""))</f>
        <v/>
      </c>
      <c r="H109" s="1"/>
      <c r="I109" s="1"/>
      <c r="J109" s="1"/>
      <c r="K109" s="1"/>
      <c r="L109" s="1"/>
    </row>
    <row r="110" spans="1:12">
      <c r="A110" s="1">
        <f>109</f>
        <v>109</v>
      </c>
      <c r="B110" s="1">
        <f>49</f>
        <v>49</v>
      </c>
      <c r="C110" s="1" t="str">
        <f>"珠算"</f>
        <v>珠算</v>
      </c>
      <c r="D110" s="1" t="str">
        <f>IF(教室申込!F49="","",IFERROR(VALUE(教室申込!F49),""))</f>
        <v/>
      </c>
      <c r="E110" s="1" t="str">
        <f>IF(D110="","",COUNT($D$2:D110))</f>
        <v/>
      </c>
      <c r="F110" s="1" t="str">
        <f>IF(COUNTA(教室申込!$C$4)=0,"",教室申込!$C$4)</f>
        <v/>
      </c>
      <c r="G110" s="1" t="str">
        <f>IF(教室申込!D49="","",IFERROR(DATE(VALUE(LEFT(教室申込!D49,4)),VALUE(MID(教室申込!D49,6,FIND("/",教室申込!D49,6)-6)),VALUE(MID(教室申込!D49,FIND("/",教室申込!D49,6)+1,2))),""))</f>
        <v/>
      </c>
      <c r="H110" s="1"/>
      <c r="I110" s="1"/>
      <c r="J110" s="1"/>
      <c r="K110" s="1"/>
      <c r="L110" s="1"/>
    </row>
    <row r="111" spans="1:12">
      <c r="A111" s="1">
        <f>110</f>
        <v>110</v>
      </c>
      <c r="B111" s="1">
        <f>49</f>
        <v>49</v>
      </c>
      <c r="C111" s="1" t="str">
        <f>"暗算"</f>
        <v>暗算</v>
      </c>
      <c r="D111" s="1" t="str">
        <f>IF(教室申込!G49="","",IFERROR(VALUE(教室申込!G49),""))</f>
        <v/>
      </c>
      <c r="E111" s="1" t="str">
        <f>IF(D111="","",COUNT($D$2:D111))</f>
        <v/>
      </c>
      <c r="F111" s="1" t="str">
        <f>IF(COUNTA(教室申込!$C$4)=0,"",教室申込!$C$4)</f>
        <v/>
      </c>
      <c r="G111" s="1" t="str">
        <f>IF(教室申込!D49="","",IFERROR(DATE(VALUE(LEFT(教室申込!D49,4)),VALUE(MID(教室申込!D49,6,FIND("/",教室申込!D49,6)-6)),VALUE(MID(教室申込!D49,FIND("/",教室申込!D49,6)+1,2))),""))</f>
        <v/>
      </c>
      <c r="H111" s="1"/>
      <c r="I111" s="1"/>
      <c r="J111" s="1"/>
      <c r="K111" s="1"/>
      <c r="L111" s="1"/>
    </row>
    <row r="112" spans="1:12">
      <c r="A112" s="1">
        <f>111</f>
        <v>111</v>
      </c>
      <c r="B112" s="1">
        <f>49</f>
        <v>49</v>
      </c>
      <c r="C112" s="1" t="str">
        <f>"段位認定"</f>
        <v>段位認定</v>
      </c>
      <c r="D112" s="1" t="str">
        <f>IF(教室申込!H49="","",IFERROR(MATCH(教室申込!H49,料金表!$G$6:$G$8,0),""))</f>
        <v/>
      </c>
      <c r="E112" s="1" t="str">
        <f>IF(D112="","",COUNT($D$2:D112))</f>
        <v/>
      </c>
      <c r="F112" s="1" t="str">
        <f>IF(COUNTA(教室申込!$C$4)=0,"",教室申込!$C$4)</f>
        <v/>
      </c>
      <c r="G112" s="1" t="str">
        <f>IF(教室申込!D49="","",IFERROR(DATE(VALUE(LEFT(教室申込!D49,4)),VALUE(MID(教室申込!D49,6,FIND("/",教室申込!D49,6)-6)),VALUE(MID(教室申込!D49,FIND("/",教室申込!D49,6)+1,2))),""))</f>
        <v/>
      </c>
      <c r="H112" s="1"/>
      <c r="I112" s="1"/>
      <c r="J112" s="1"/>
      <c r="K112" s="1"/>
      <c r="L112" s="1"/>
    </row>
    <row r="113" spans="1:12">
      <c r="A113" s="1">
        <f>112</f>
        <v>112</v>
      </c>
      <c r="B113" s="1">
        <f>50</f>
        <v>50</v>
      </c>
      <c r="C113" s="1" t="str">
        <f>"珠算"</f>
        <v>珠算</v>
      </c>
      <c r="D113" s="1" t="str">
        <f>IF(教室申込!F50="","",IFERROR(VALUE(教室申込!F50),""))</f>
        <v/>
      </c>
      <c r="E113" s="1" t="str">
        <f>IF(D113="","",COUNT($D$2:D113))</f>
        <v/>
      </c>
      <c r="F113" s="1" t="str">
        <f>IF(COUNTA(教室申込!$C$4)=0,"",教室申込!$C$4)</f>
        <v/>
      </c>
      <c r="G113" s="1" t="str">
        <f>IF(教室申込!D50="","",IFERROR(DATE(VALUE(LEFT(教室申込!D50,4)),VALUE(MID(教室申込!D50,6,FIND("/",教室申込!D50,6)-6)),VALUE(MID(教室申込!D50,FIND("/",教室申込!D50,6)+1,2))),""))</f>
        <v/>
      </c>
      <c r="H113" s="1"/>
      <c r="I113" s="1"/>
      <c r="J113" s="1"/>
      <c r="K113" s="1"/>
      <c r="L113" s="1"/>
    </row>
    <row r="114" spans="1:12">
      <c r="A114" s="1">
        <f>113</f>
        <v>113</v>
      </c>
      <c r="B114" s="1">
        <f>50</f>
        <v>50</v>
      </c>
      <c r="C114" s="1" t="str">
        <f>"暗算"</f>
        <v>暗算</v>
      </c>
      <c r="D114" s="1" t="str">
        <f>IF(教室申込!G50="","",IFERROR(VALUE(教室申込!G50),""))</f>
        <v/>
      </c>
      <c r="E114" s="1" t="str">
        <f>IF(D114="","",COUNT($D$2:D114))</f>
        <v/>
      </c>
      <c r="F114" s="1" t="str">
        <f>IF(COUNTA(教室申込!$C$4)=0,"",教室申込!$C$4)</f>
        <v/>
      </c>
      <c r="G114" s="1" t="str">
        <f>IF(教室申込!D50="","",IFERROR(DATE(VALUE(LEFT(教室申込!D50,4)),VALUE(MID(教室申込!D50,6,FIND("/",教室申込!D50,6)-6)),VALUE(MID(教室申込!D50,FIND("/",教室申込!D50,6)+1,2))),""))</f>
        <v/>
      </c>
      <c r="H114" s="1"/>
      <c r="I114" s="1"/>
      <c r="J114" s="1"/>
      <c r="K114" s="1"/>
      <c r="L114" s="1"/>
    </row>
    <row r="115" spans="1:12">
      <c r="A115" s="1">
        <f>114</f>
        <v>114</v>
      </c>
      <c r="B115" s="1">
        <f>50</f>
        <v>50</v>
      </c>
      <c r="C115" s="1" t="str">
        <f>"段位認定"</f>
        <v>段位認定</v>
      </c>
      <c r="D115" s="1" t="str">
        <f>IF(教室申込!H50="","",IFERROR(MATCH(教室申込!H50,料金表!$G$6:$G$8,0),""))</f>
        <v/>
      </c>
      <c r="E115" s="1" t="str">
        <f>IF(D115="","",COUNT($D$2:D115))</f>
        <v/>
      </c>
      <c r="F115" s="1" t="str">
        <f>IF(COUNTA(教室申込!$C$4)=0,"",教室申込!$C$4)</f>
        <v/>
      </c>
      <c r="G115" s="1" t="str">
        <f>IF(教室申込!D50="","",IFERROR(DATE(VALUE(LEFT(教室申込!D50,4)),VALUE(MID(教室申込!D50,6,FIND("/",教室申込!D50,6)-6)),VALUE(MID(教室申込!D50,FIND("/",教室申込!D50,6)+1,2))),""))</f>
        <v/>
      </c>
      <c r="H115" s="1"/>
      <c r="I115" s="1"/>
      <c r="J115" s="1"/>
      <c r="K115" s="1"/>
      <c r="L115" s="1"/>
    </row>
    <row r="116" spans="1:12">
      <c r="A116" s="1">
        <f>115</f>
        <v>115</v>
      </c>
      <c r="B116" s="1">
        <f>51</f>
        <v>51</v>
      </c>
      <c r="C116" s="1" t="str">
        <f>"珠算"</f>
        <v>珠算</v>
      </c>
      <c r="D116" s="1" t="str">
        <f>IF(教室申込!F51="","",IFERROR(VALUE(教室申込!F51),""))</f>
        <v/>
      </c>
      <c r="E116" s="1" t="str">
        <f>IF(D116="","",COUNT($D$2:D116))</f>
        <v/>
      </c>
      <c r="F116" s="1" t="str">
        <f>IF(COUNTA(教室申込!$C$4)=0,"",教室申込!$C$4)</f>
        <v/>
      </c>
      <c r="G116" s="1" t="str">
        <f>IF(教室申込!D51="","",IFERROR(DATE(VALUE(LEFT(教室申込!D51,4)),VALUE(MID(教室申込!D51,6,FIND("/",教室申込!D51,6)-6)),VALUE(MID(教室申込!D51,FIND("/",教室申込!D51,6)+1,2))),""))</f>
        <v/>
      </c>
      <c r="H116" s="1"/>
      <c r="I116" s="1"/>
      <c r="J116" s="1"/>
      <c r="K116" s="1"/>
      <c r="L116" s="1"/>
    </row>
    <row r="117" spans="1:12">
      <c r="A117" s="1">
        <f>116</f>
        <v>116</v>
      </c>
      <c r="B117" s="1">
        <f>51</f>
        <v>51</v>
      </c>
      <c r="C117" s="1" t="str">
        <f>"暗算"</f>
        <v>暗算</v>
      </c>
      <c r="D117" s="1" t="str">
        <f>IF(教室申込!G51="","",IFERROR(VALUE(教室申込!G51),""))</f>
        <v/>
      </c>
      <c r="E117" s="1" t="str">
        <f>IF(D117="","",COUNT($D$2:D117))</f>
        <v/>
      </c>
      <c r="F117" s="1" t="str">
        <f>IF(COUNTA(教室申込!$C$4)=0,"",教室申込!$C$4)</f>
        <v/>
      </c>
      <c r="G117" s="1" t="str">
        <f>IF(教室申込!D51="","",IFERROR(DATE(VALUE(LEFT(教室申込!D51,4)),VALUE(MID(教室申込!D51,6,FIND("/",教室申込!D51,6)-6)),VALUE(MID(教室申込!D51,FIND("/",教室申込!D51,6)+1,2))),""))</f>
        <v/>
      </c>
      <c r="H117" s="1"/>
      <c r="I117" s="1"/>
      <c r="J117" s="1"/>
      <c r="K117" s="1"/>
      <c r="L117" s="1"/>
    </row>
    <row r="118" spans="1:12">
      <c r="A118" s="1">
        <f>117</f>
        <v>117</v>
      </c>
      <c r="B118" s="1">
        <f>51</f>
        <v>51</v>
      </c>
      <c r="C118" s="1" t="str">
        <f>"段位認定"</f>
        <v>段位認定</v>
      </c>
      <c r="D118" s="1" t="str">
        <f>IF(教室申込!H51="","",IFERROR(MATCH(教室申込!H51,料金表!$G$6:$G$8,0),""))</f>
        <v/>
      </c>
      <c r="E118" s="1" t="str">
        <f>IF(D118="","",COUNT($D$2:D118))</f>
        <v/>
      </c>
      <c r="F118" s="1" t="str">
        <f>IF(COUNTA(教室申込!$C$4)=0,"",教室申込!$C$4)</f>
        <v/>
      </c>
      <c r="G118" s="1" t="str">
        <f>IF(教室申込!D51="","",IFERROR(DATE(VALUE(LEFT(教室申込!D51,4)),VALUE(MID(教室申込!D51,6,FIND("/",教室申込!D51,6)-6)),VALUE(MID(教室申込!D51,FIND("/",教室申込!D51,6)+1,2))),""))</f>
        <v/>
      </c>
      <c r="H118" s="1"/>
      <c r="I118" s="1"/>
      <c r="J118" s="1"/>
      <c r="K118" s="1"/>
      <c r="L118" s="1"/>
    </row>
    <row r="119" spans="1:12">
      <c r="A119" s="1">
        <f>118</f>
        <v>118</v>
      </c>
      <c r="B119" s="1">
        <f>52</f>
        <v>52</v>
      </c>
      <c r="C119" s="1" t="str">
        <f>"珠算"</f>
        <v>珠算</v>
      </c>
      <c r="D119" s="1" t="str">
        <f>IF(教室申込!F52="","",IFERROR(VALUE(教室申込!F52),""))</f>
        <v/>
      </c>
      <c r="E119" s="1" t="str">
        <f>IF(D119="","",COUNT($D$2:D119))</f>
        <v/>
      </c>
      <c r="F119" s="1" t="str">
        <f>IF(COUNTA(教室申込!$C$4)=0,"",教室申込!$C$4)</f>
        <v/>
      </c>
      <c r="G119" s="1" t="str">
        <f>IF(教室申込!D52="","",IFERROR(DATE(VALUE(LEFT(教室申込!D52,4)),VALUE(MID(教室申込!D52,6,FIND("/",教室申込!D52,6)-6)),VALUE(MID(教室申込!D52,FIND("/",教室申込!D52,6)+1,2))),""))</f>
        <v/>
      </c>
      <c r="H119" s="1"/>
      <c r="I119" s="1"/>
      <c r="J119" s="1"/>
      <c r="K119" s="1"/>
      <c r="L119" s="1"/>
    </row>
    <row r="120" spans="1:12">
      <c r="A120" s="1">
        <f>119</f>
        <v>119</v>
      </c>
      <c r="B120" s="1">
        <f>52</f>
        <v>52</v>
      </c>
      <c r="C120" s="1" t="str">
        <f>"暗算"</f>
        <v>暗算</v>
      </c>
      <c r="D120" s="1" t="str">
        <f>IF(教室申込!G52="","",IFERROR(VALUE(教室申込!G52),""))</f>
        <v/>
      </c>
      <c r="E120" s="1" t="str">
        <f>IF(D120="","",COUNT($D$2:D120))</f>
        <v/>
      </c>
      <c r="F120" s="1" t="str">
        <f>IF(COUNTA(教室申込!$C$4)=0,"",教室申込!$C$4)</f>
        <v/>
      </c>
      <c r="G120" s="1" t="str">
        <f>IF(教室申込!D52="","",IFERROR(DATE(VALUE(LEFT(教室申込!D52,4)),VALUE(MID(教室申込!D52,6,FIND("/",教室申込!D52,6)-6)),VALUE(MID(教室申込!D52,FIND("/",教室申込!D52,6)+1,2))),""))</f>
        <v/>
      </c>
      <c r="H120" s="1"/>
      <c r="I120" s="1"/>
      <c r="J120" s="1"/>
      <c r="K120" s="1"/>
      <c r="L120" s="1"/>
    </row>
    <row r="121" spans="1:12">
      <c r="A121" s="1">
        <f>120</f>
        <v>120</v>
      </c>
      <c r="B121" s="1">
        <f>52</f>
        <v>52</v>
      </c>
      <c r="C121" s="1" t="str">
        <f>"段位認定"</f>
        <v>段位認定</v>
      </c>
      <c r="D121" s="1" t="str">
        <f>IF(教室申込!H52="","",IFERROR(MATCH(教室申込!H52,料金表!$G$6:$G$8,0),""))</f>
        <v/>
      </c>
      <c r="E121" s="1" t="str">
        <f>IF(D121="","",COUNT($D$2:D121))</f>
        <v/>
      </c>
      <c r="F121" s="1" t="str">
        <f>IF(COUNTA(教室申込!$C$4)=0,"",教室申込!$C$4)</f>
        <v/>
      </c>
      <c r="G121" s="1" t="str">
        <f>IF(教室申込!D52="","",IFERROR(DATE(VALUE(LEFT(教室申込!D52,4)),VALUE(MID(教室申込!D52,6,FIND("/",教室申込!D52,6)-6)),VALUE(MID(教室申込!D52,FIND("/",教室申込!D52,6)+1,2))),""))</f>
        <v/>
      </c>
      <c r="H121" s="1"/>
      <c r="I121" s="1"/>
      <c r="J121" s="1"/>
      <c r="K121" s="1"/>
      <c r="L121" s="1"/>
    </row>
    <row r="122" spans="1:12">
      <c r="A122" s="1">
        <f>121</f>
        <v>121</v>
      </c>
      <c r="B122" s="1">
        <f>53</f>
        <v>53</v>
      </c>
      <c r="C122" s="1" t="str">
        <f>"珠算"</f>
        <v>珠算</v>
      </c>
      <c r="D122" s="1" t="str">
        <f>IF(教室申込!F53="","",IFERROR(VALUE(教室申込!F53),""))</f>
        <v/>
      </c>
      <c r="E122" s="1" t="str">
        <f>IF(D122="","",COUNT($D$2:D122))</f>
        <v/>
      </c>
      <c r="F122" s="1" t="str">
        <f>IF(COUNTA(教室申込!$C$4)=0,"",教室申込!$C$4)</f>
        <v/>
      </c>
      <c r="G122" s="1" t="str">
        <f>IF(教室申込!D53="","",IFERROR(DATE(VALUE(LEFT(教室申込!D53,4)),VALUE(MID(教室申込!D53,6,FIND("/",教室申込!D53,6)-6)),VALUE(MID(教室申込!D53,FIND("/",教室申込!D53,6)+1,2))),""))</f>
        <v/>
      </c>
      <c r="H122" s="1"/>
      <c r="I122" s="1"/>
      <c r="J122" s="1"/>
      <c r="K122" s="1"/>
      <c r="L122" s="1"/>
    </row>
    <row r="123" spans="1:12">
      <c r="A123" s="1">
        <f>122</f>
        <v>122</v>
      </c>
      <c r="B123" s="1">
        <f>53</f>
        <v>53</v>
      </c>
      <c r="C123" s="1" t="str">
        <f>"暗算"</f>
        <v>暗算</v>
      </c>
      <c r="D123" s="1" t="str">
        <f>IF(教室申込!G53="","",IFERROR(VALUE(教室申込!G53),""))</f>
        <v/>
      </c>
      <c r="E123" s="1" t="str">
        <f>IF(D123="","",COUNT($D$2:D123))</f>
        <v/>
      </c>
      <c r="F123" s="1" t="str">
        <f>IF(COUNTA(教室申込!$C$4)=0,"",教室申込!$C$4)</f>
        <v/>
      </c>
      <c r="G123" s="1" t="str">
        <f>IF(教室申込!D53="","",IFERROR(DATE(VALUE(LEFT(教室申込!D53,4)),VALUE(MID(教室申込!D53,6,FIND("/",教室申込!D53,6)-6)),VALUE(MID(教室申込!D53,FIND("/",教室申込!D53,6)+1,2))),""))</f>
        <v/>
      </c>
      <c r="H123" s="1"/>
      <c r="I123" s="1"/>
      <c r="J123" s="1"/>
      <c r="K123" s="1"/>
      <c r="L123" s="1"/>
    </row>
    <row r="124" spans="1:12">
      <c r="A124" s="1">
        <f>123</f>
        <v>123</v>
      </c>
      <c r="B124" s="1">
        <f>53</f>
        <v>53</v>
      </c>
      <c r="C124" s="1" t="str">
        <f>"段位認定"</f>
        <v>段位認定</v>
      </c>
      <c r="D124" s="1" t="str">
        <f>IF(教室申込!H53="","",IFERROR(MATCH(教室申込!H53,料金表!$G$6:$G$8,0),""))</f>
        <v/>
      </c>
      <c r="E124" s="1" t="str">
        <f>IF(D124="","",COUNT($D$2:D124))</f>
        <v/>
      </c>
      <c r="F124" s="1" t="str">
        <f>IF(COUNTA(教室申込!$C$4)=0,"",教室申込!$C$4)</f>
        <v/>
      </c>
      <c r="G124" s="1" t="str">
        <f>IF(教室申込!D53="","",IFERROR(DATE(VALUE(LEFT(教室申込!D53,4)),VALUE(MID(教室申込!D53,6,FIND("/",教室申込!D53,6)-6)),VALUE(MID(教室申込!D53,FIND("/",教室申込!D53,6)+1,2))),""))</f>
        <v/>
      </c>
      <c r="H124" s="1"/>
      <c r="I124" s="1"/>
      <c r="J124" s="1"/>
      <c r="K124" s="1"/>
      <c r="L124" s="1"/>
    </row>
    <row r="125" spans="1:12">
      <c r="A125" s="1">
        <f>124</f>
        <v>124</v>
      </c>
      <c r="B125" s="1">
        <f>54</f>
        <v>54</v>
      </c>
      <c r="C125" s="1" t="str">
        <f>"珠算"</f>
        <v>珠算</v>
      </c>
      <c r="D125" s="1" t="str">
        <f>IF(教室申込!F54="","",IFERROR(VALUE(教室申込!F54),""))</f>
        <v/>
      </c>
      <c r="E125" s="1" t="str">
        <f>IF(D125="","",COUNT($D$2:D125))</f>
        <v/>
      </c>
      <c r="F125" s="1" t="str">
        <f>IF(COUNTA(教室申込!$C$4)=0,"",教室申込!$C$4)</f>
        <v/>
      </c>
      <c r="G125" s="1" t="str">
        <f>IF(教室申込!D54="","",IFERROR(DATE(VALUE(LEFT(教室申込!D54,4)),VALUE(MID(教室申込!D54,6,FIND("/",教室申込!D54,6)-6)),VALUE(MID(教室申込!D54,FIND("/",教室申込!D54,6)+1,2))),""))</f>
        <v/>
      </c>
      <c r="H125" s="1"/>
      <c r="I125" s="1"/>
      <c r="J125" s="1"/>
      <c r="K125" s="1"/>
      <c r="L125" s="1"/>
    </row>
    <row r="126" spans="1:12">
      <c r="A126" s="1">
        <f>125</f>
        <v>125</v>
      </c>
      <c r="B126" s="1">
        <f>54</f>
        <v>54</v>
      </c>
      <c r="C126" s="1" t="str">
        <f>"暗算"</f>
        <v>暗算</v>
      </c>
      <c r="D126" s="1" t="str">
        <f>IF(教室申込!G54="","",IFERROR(VALUE(教室申込!G54),""))</f>
        <v/>
      </c>
      <c r="E126" s="1" t="str">
        <f>IF(D126="","",COUNT($D$2:D126))</f>
        <v/>
      </c>
      <c r="F126" s="1" t="str">
        <f>IF(COUNTA(教室申込!$C$4)=0,"",教室申込!$C$4)</f>
        <v/>
      </c>
      <c r="G126" s="1" t="str">
        <f>IF(教室申込!D54="","",IFERROR(DATE(VALUE(LEFT(教室申込!D54,4)),VALUE(MID(教室申込!D54,6,FIND("/",教室申込!D54,6)-6)),VALUE(MID(教室申込!D54,FIND("/",教室申込!D54,6)+1,2))),""))</f>
        <v/>
      </c>
      <c r="H126" s="1"/>
      <c r="I126" s="1"/>
      <c r="J126" s="1"/>
      <c r="K126" s="1"/>
      <c r="L126" s="1"/>
    </row>
    <row r="127" spans="1:12">
      <c r="A127" s="1">
        <f>126</f>
        <v>126</v>
      </c>
      <c r="B127" s="1">
        <f>54</f>
        <v>54</v>
      </c>
      <c r="C127" s="1" t="str">
        <f>"段位認定"</f>
        <v>段位認定</v>
      </c>
      <c r="D127" s="1" t="str">
        <f>IF(教室申込!H54="","",IFERROR(MATCH(教室申込!H54,料金表!$G$6:$G$8,0),""))</f>
        <v/>
      </c>
      <c r="E127" s="1" t="str">
        <f>IF(D127="","",COUNT($D$2:D127))</f>
        <v/>
      </c>
      <c r="F127" s="1" t="str">
        <f>IF(COUNTA(教室申込!$C$4)=0,"",教室申込!$C$4)</f>
        <v/>
      </c>
      <c r="G127" s="1" t="str">
        <f>IF(教室申込!D54="","",IFERROR(DATE(VALUE(LEFT(教室申込!D54,4)),VALUE(MID(教室申込!D54,6,FIND("/",教室申込!D54,6)-6)),VALUE(MID(教室申込!D54,FIND("/",教室申込!D54,6)+1,2))),""))</f>
        <v/>
      </c>
      <c r="H127" s="1"/>
      <c r="I127" s="1"/>
      <c r="J127" s="1"/>
      <c r="K127" s="1"/>
      <c r="L127" s="1"/>
    </row>
    <row r="128" spans="1:12">
      <c r="A128" s="1">
        <f>127</f>
        <v>127</v>
      </c>
      <c r="B128" s="1">
        <f>55</f>
        <v>55</v>
      </c>
      <c r="C128" s="1" t="str">
        <f>"珠算"</f>
        <v>珠算</v>
      </c>
      <c r="D128" s="1" t="str">
        <f>IF(教室申込!F55="","",IFERROR(VALUE(教室申込!F55),""))</f>
        <v/>
      </c>
      <c r="E128" s="1" t="str">
        <f>IF(D128="","",COUNT($D$2:D128))</f>
        <v/>
      </c>
      <c r="F128" s="1" t="str">
        <f>IF(COUNTA(教室申込!$C$4)=0,"",教室申込!$C$4)</f>
        <v/>
      </c>
      <c r="G128" s="1" t="str">
        <f>IF(教室申込!D55="","",IFERROR(DATE(VALUE(LEFT(教室申込!D55,4)),VALUE(MID(教室申込!D55,6,FIND("/",教室申込!D55,6)-6)),VALUE(MID(教室申込!D55,FIND("/",教室申込!D55,6)+1,2))),""))</f>
        <v/>
      </c>
      <c r="H128" s="1"/>
      <c r="I128" s="1"/>
      <c r="J128" s="1"/>
      <c r="K128" s="1"/>
      <c r="L128" s="1"/>
    </row>
    <row r="129" spans="1:12">
      <c r="A129" s="1">
        <f>128</f>
        <v>128</v>
      </c>
      <c r="B129" s="1">
        <f>55</f>
        <v>55</v>
      </c>
      <c r="C129" s="1" t="str">
        <f>"暗算"</f>
        <v>暗算</v>
      </c>
      <c r="D129" s="1" t="str">
        <f>IF(教室申込!G55="","",IFERROR(VALUE(教室申込!G55),""))</f>
        <v/>
      </c>
      <c r="E129" s="1" t="str">
        <f>IF(D129="","",COUNT($D$2:D129))</f>
        <v/>
      </c>
      <c r="F129" s="1" t="str">
        <f>IF(COUNTA(教室申込!$C$4)=0,"",教室申込!$C$4)</f>
        <v/>
      </c>
      <c r="G129" s="1" t="str">
        <f>IF(教室申込!D55="","",IFERROR(DATE(VALUE(LEFT(教室申込!D55,4)),VALUE(MID(教室申込!D55,6,FIND("/",教室申込!D55,6)-6)),VALUE(MID(教室申込!D55,FIND("/",教室申込!D55,6)+1,2))),""))</f>
        <v/>
      </c>
      <c r="H129" s="1"/>
      <c r="I129" s="1"/>
      <c r="J129" s="1"/>
      <c r="K129" s="1"/>
      <c r="L129" s="1"/>
    </row>
    <row r="130" spans="1:12">
      <c r="A130" s="1">
        <f>129</f>
        <v>129</v>
      </c>
      <c r="B130" s="1">
        <f>55</f>
        <v>55</v>
      </c>
      <c r="C130" s="1" t="str">
        <f>"段位認定"</f>
        <v>段位認定</v>
      </c>
      <c r="D130" s="1" t="str">
        <f>IF(教室申込!H55="","",IFERROR(MATCH(教室申込!H55,料金表!$G$6:$G$8,0),""))</f>
        <v/>
      </c>
      <c r="E130" s="1" t="str">
        <f>IF(D130="","",COUNT($D$2:D130))</f>
        <v/>
      </c>
      <c r="F130" s="1" t="str">
        <f>IF(COUNTA(教室申込!$C$4)=0,"",教室申込!$C$4)</f>
        <v/>
      </c>
      <c r="G130" s="1" t="str">
        <f>IF(教室申込!D55="","",IFERROR(DATE(VALUE(LEFT(教室申込!D55,4)),VALUE(MID(教室申込!D55,6,FIND("/",教室申込!D55,6)-6)),VALUE(MID(教室申込!D55,FIND("/",教室申込!D55,6)+1,2))),""))</f>
        <v/>
      </c>
      <c r="H130" s="1"/>
      <c r="I130" s="1"/>
      <c r="J130" s="1"/>
      <c r="K130" s="1"/>
      <c r="L130" s="1"/>
    </row>
    <row r="131" spans="1:12">
      <c r="A131" s="1">
        <f>130</f>
        <v>130</v>
      </c>
      <c r="B131" s="1">
        <f>56</f>
        <v>56</v>
      </c>
      <c r="C131" s="1" t="str">
        <f>"珠算"</f>
        <v>珠算</v>
      </c>
      <c r="D131" s="1" t="str">
        <f>IF(教室申込!F56="","",IFERROR(VALUE(教室申込!F56),""))</f>
        <v/>
      </c>
      <c r="E131" s="1" t="str">
        <f>IF(D131="","",COUNT($D$2:D131))</f>
        <v/>
      </c>
      <c r="F131" s="1" t="str">
        <f>IF(COUNTA(教室申込!$C$4)=0,"",教室申込!$C$4)</f>
        <v/>
      </c>
      <c r="G131" s="1" t="str">
        <f>IF(教室申込!D56="","",IFERROR(DATE(VALUE(LEFT(教室申込!D56,4)),VALUE(MID(教室申込!D56,6,FIND("/",教室申込!D56,6)-6)),VALUE(MID(教室申込!D56,FIND("/",教室申込!D56,6)+1,2))),""))</f>
        <v/>
      </c>
      <c r="H131" s="1"/>
      <c r="I131" s="1"/>
      <c r="J131" s="1"/>
      <c r="K131" s="1"/>
      <c r="L131" s="1"/>
    </row>
    <row r="132" spans="1:12">
      <c r="A132" s="1">
        <f>131</f>
        <v>131</v>
      </c>
      <c r="B132" s="1">
        <f>56</f>
        <v>56</v>
      </c>
      <c r="C132" s="1" t="str">
        <f>"暗算"</f>
        <v>暗算</v>
      </c>
      <c r="D132" s="1" t="str">
        <f>IF(教室申込!G56="","",IFERROR(VALUE(教室申込!G56),""))</f>
        <v/>
      </c>
      <c r="E132" s="1" t="str">
        <f>IF(D132="","",COUNT($D$2:D132))</f>
        <v/>
      </c>
      <c r="F132" s="1" t="str">
        <f>IF(COUNTA(教室申込!$C$4)=0,"",教室申込!$C$4)</f>
        <v/>
      </c>
      <c r="G132" s="1" t="str">
        <f>IF(教室申込!D56="","",IFERROR(DATE(VALUE(LEFT(教室申込!D56,4)),VALUE(MID(教室申込!D56,6,FIND("/",教室申込!D56,6)-6)),VALUE(MID(教室申込!D56,FIND("/",教室申込!D56,6)+1,2))),""))</f>
        <v/>
      </c>
      <c r="H132" s="1"/>
      <c r="I132" s="1"/>
      <c r="J132" s="1"/>
      <c r="K132" s="1"/>
      <c r="L132" s="1"/>
    </row>
    <row r="133" spans="1:12">
      <c r="A133" s="1">
        <f>132</f>
        <v>132</v>
      </c>
      <c r="B133" s="1">
        <f>56</f>
        <v>56</v>
      </c>
      <c r="C133" s="1" t="str">
        <f>"段位認定"</f>
        <v>段位認定</v>
      </c>
      <c r="D133" s="1" t="str">
        <f>IF(教室申込!H56="","",IFERROR(MATCH(教室申込!H56,料金表!$G$6:$G$8,0),""))</f>
        <v/>
      </c>
      <c r="E133" s="1" t="str">
        <f>IF(D133="","",COUNT($D$2:D133))</f>
        <v/>
      </c>
      <c r="F133" s="1" t="str">
        <f>IF(COUNTA(教室申込!$C$4)=0,"",教室申込!$C$4)</f>
        <v/>
      </c>
      <c r="G133" s="1" t="str">
        <f>IF(教室申込!D56="","",IFERROR(DATE(VALUE(LEFT(教室申込!D56,4)),VALUE(MID(教室申込!D56,6,FIND("/",教室申込!D56,6)-6)),VALUE(MID(教室申込!D56,FIND("/",教室申込!D56,6)+1,2))),""))</f>
        <v/>
      </c>
      <c r="H133" s="1"/>
      <c r="I133" s="1"/>
      <c r="J133" s="1"/>
      <c r="K133" s="1"/>
      <c r="L133" s="1"/>
    </row>
    <row r="134" spans="1:12">
      <c r="A134" s="1">
        <f>133</f>
        <v>133</v>
      </c>
      <c r="B134" s="1">
        <f>57</f>
        <v>57</v>
      </c>
      <c r="C134" s="1" t="str">
        <f>"珠算"</f>
        <v>珠算</v>
      </c>
      <c r="D134" s="1" t="str">
        <f>IF(教室申込!F57="","",IFERROR(VALUE(教室申込!F57),""))</f>
        <v/>
      </c>
      <c r="E134" s="1" t="str">
        <f>IF(D134="","",COUNT($D$2:D134))</f>
        <v/>
      </c>
      <c r="F134" s="1" t="str">
        <f>IF(COUNTA(教室申込!$C$4)=0,"",教室申込!$C$4)</f>
        <v/>
      </c>
      <c r="G134" s="1" t="str">
        <f>IF(教室申込!D57="","",IFERROR(DATE(VALUE(LEFT(教室申込!D57,4)),VALUE(MID(教室申込!D57,6,FIND("/",教室申込!D57,6)-6)),VALUE(MID(教室申込!D57,FIND("/",教室申込!D57,6)+1,2))),""))</f>
        <v/>
      </c>
      <c r="H134" s="1"/>
      <c r="I134" s="1"/>
      <c r="J134" s="1"/>
      <c r="K134" s="1"/>
      <c r="L134" s="1"/>
    </row>
    <row r="135" spans="1:12">
      <c r="A135" s="1">
        <f>134</f>
        <v>134</v>
      </c>
      <c r="B135" s="1">
        <f>57</f>
        <v>57</v>
      </c>
      <c r="C135" s="1" t="str">
        <f>"暗算"</f>
        <v>暗算</v>
      </c>
      <c r="D135" s="1" t="str">
        <f>IF(教室申込!G57="","",IFERROR(VALUE(教室申込!G57),""))</f>
        <v/>
      </c>
      <c r="E135" s="1" t="str">
        <f>IF(D135="","",COUNT($D$2:D135))</f>
        <v/>
      </c>
      <c r="F135" s="1" t="str">
        <f>IF(COUNTA(教室申込!$C$4)=0,"",教室申込!$C$4)</f>
        <v/>
      </c>
      <c r="G135" s="1" t="str">
        <f>IF(教室申込!D57="","",IFERROR(DATE(VALUE(LEFT(教室申込!D57,4)),VALUE(MID(教室申込!D57,6,FIND("/",教室申込!D57,6)-6)),VALUE(MID(教室申込!D57,FIND("/",教室申込!D57,6)+1,2))),""))</f>
        <v/>
      </c>
      <c r="H135" s="1"/>
      <c r="I135" s="1"/>
      <c r="J135" s="1"/>
      <c r="K135" s="1"/>
      <c r="L135" s="1"/>
    </row>
    <row r="136" spans="1:12">
      <c r="A136" s="1">
        <f>135</f>
        <v>135</v>
      </c>
      <c r="B136" s="1">
        <f>57</f>
        <v>57</v>
      </c>
      <c r="C136" s="1" t="str">
        <f>"段位認定"</f>
        <v>段位認定</v>
      </c>
      <c r="D136" s="1" t="str">
        <f>IF(教室申込!H57="","",IFERROR(MATCH(教室申込!H57,料金表!$G$6:$G$8,0),""))</f>
        <v/>
      </c>
      <c r="E136" s="1" t="str">
        <f>IF(D136="","",COUNT($D$2:D136))</f>
        <v/>
      </c>
      <c r="F136" s="1" t="str">
        <f>IF(COUNTA(教室申込!$C$4)=0,"",教室申込!$C$4)</f>
        <v/>
      </c>
      <c r="G136" s="1" t="str">
        <f>IF(教室申込!D57="","",IFERROR(DATE(VALUE(LEFT(教室申込!D57,4)),VALUE(MID(教室申込!D57,6,FIND("/",教室申込!D57,6)-6)),VALUE(MID(教室申込!D57,FIND("/",教室申込!D57,6)+1,2))),""))</f>
        <v/>
      </c>
      <c r="H136" s="1"/>
      <c r="I136" s="1"/>
      <c r="J136" s="1"/>
      <c r="K136" s="1"/>
      <c r="L136" s="1"/>
    </row>
    <row r="137" spans="1:12">
      <c r="A137" s="1">
        <f>136</f>
        <v>136</v>
      </c>
      <c r="B137" s="1">
        <f>58</f>
        <v>58</v>
      </c>
      <c r="C137" s="1" t="str">
        <f>"珠算"</f>
        <v>珠算</v>
      </c>
      <c r="D137" s="1" t="str">
        <f>IF(教室申込!F58="","",IFERROR(VALUE(教室申込!F58),""))</f>
        <v/>
      </c>
      <c r="E137" s="1" t="str">
        <f>IF(D137="","",COUNT($D$2:D137))</f>
        <v/>
      </c>
      <c r="F137" s="1" t="str">
        <f>IF(COUNTA(教室申込!$C$4)=0,"",教室申込!$C$4)</f>
        <v/>
      </c>
      <c r="G137" s="1" t="str">
        <f>IF(教室申込!D58="","",IFERROR(DATE(VALUE(LEFT(教室申込!D58,4)),VALUE(MID(教室申込!D58,6,FIND("/",教室申込!D58,6)-6)),VALUE(MID(教室申込!D58,FIND("/",教室申込!D58,6)+1,2))),""))</f>
        <v/>
      </c>
      <c r="H137" s="1"/>
      <c r="I137" s="1"/>
      <c r="J137" s="1"/>
      <c r="K137" s="1"/>
      <c r="L137" s="1"/>
    </row>
    <row r="138" spans="1:12">
      <c r="A138" s="1">
        <f>137</f>
        <v>137</v>
      </c>
      <c r="B138" s="1">
        <f>58</f>
        <v>58</v>
      </c>
      <c r="C138" s="1" t="str">
        <f>"暗算"</f>
        <v>暗算</v>
      </c>
      <c r="D138" s="1" t="str">
        <f>IF(教室申込!G58="","",IFERROR(VALUE(教室申込!G58),""))</f>
        <v/>
      </c>
      <c r="E138" s="1" t="str">
        <f>IF(D138="","",COUNT($D$2:D138))</f>
        <v/>
      </c>
      <c r="F138" s="1" t="str">
        <f>IF(COUNTA(教室申込!$C$4)=0,"",教室申込!$C$4)</f>
        <v/>
      </c>
      <c r="G138" s="1" t="str">
        <f>IF(教室申込!D58="","",IFERROR(DATE(VALUE(LEFT(教室申込!D58,4)),VALUE(MID(教室申込!D58,6,FIND("/",教室申込!D58,6)-6)),VALUE(MID(教室申込!D58,FIND("/",教室申込!D58,6)+1,2))),""))</f>
        <v/>
      </c>
      <c r="H138" s="1"/>
      <c r="I138" s="1"/>
      <c r="J138" s="1"/>
      <c r="K138" s="1"/>
      <c r="L138" s="1"/>
    </row>
    <row r="139" spans="1:12">
      <c r="A139" s="1">
        <f>138</f>
        <v>138</v>
      </c>
      <c r="B139" s="1">
        <f>58</f>
        <v>58</v>
      </c>
      <c r="C139" s="1" t="str">
        <f>"段位認定"</f>
        <v>段位認定</v>
      </c>
      <c r="D139" s="1" t="str">
        <f>IF(教室申込!H58="","",IFERROR(MATCH(教室申込!H58,料金表!$G$6:$G$8,0),""))</f>
        <v/>
      </c>
      <c r="E139" s="1" t="str">
        <f>IF(D139="","",COUNT($D$2:D139))</f>
        <v/>
      </c>
      <c r="F139" s="1" t="str">
        <f>IF(COUNTA(教室申込!$C$4)=0,"",教室申込!$C$4)</f>
        <v/>
      </c>
      <c r="G139" s="1" t="str">
        <f>IF(教室申込!D58="","",IFERROR(DATE(VALUE(LEFT(教室申込!D58,4)),VALUE(MID(教室申込!D58,6,FIND("/",教室申込!D58,6)-6)),VALUE(MID(教室申込!D58,FIND("/",教室申込!D58,6)+1,2))),""))</f>
        <v/>
      </c>
      <c r="H139" s="1"/>
      <c r="I139" s="1"/>
      <c r="J139" s="1"/>
      <c r="K139" s="1"/>
      <c r="L139" s="1"/>
    </row>
    <row r="140" spans="1:12">
      <c r="A140" s="1">
        <f>139</f>
        <v>139</v>
      </c>
      <c r="B140" s="1">
        <f>59</f>
        <v>59</v>
      </c>
      <c r="C140" s="1" t="str">
        <f>"珠算"</f>
        <v>珠算</v>
      </c>
      <c r="D140" s="1" t="str">
        <f>IF(教室申込!F59="","",IFERROR(VALUE(教室申込!F59),""))</f>
        <v/>
      </c>
      <c r="E140" s="1" t="str">
        <f>IF(D140="","",COUNT($D$2:D140))</f>
        <v/>
      </c>
      <c r="F140" s="1" t="str">
        <f>IF(COUNTA(教室申込!$C$4)=0,"",教室申込!$C$4)</f>
        <v/>
      </c>
      <c r="G140" s="1" t="str">
        <f>IF(教室申込!D59="","",IFERROR(DATE(VALUE(LEFT(教室申込!D59,4)),VALUE(MID(教室申込!D59,6,FIND("/",教室申込!D59,6)-6)),VALUE(MID(教室申込!D59,FIND("/",教室申込!D59,6)+1,2))),""))</f>
        <v/>
      </c>
      <c r="H140" s="1"/>
      <c r="I140" s="1"/>
      <c r="J140" s="1"/>
      <c r="K140" s="1"/>
      <c r="L140" s="1"/>
    </row>
    <row r="141" spans="1:12">
      <c r="A141" s="1">
        <f>140</f>
        <v>140</v>
      </c>
      <c r="B141" s="1">
        <f>59</f>
        <v>59</v>
      </c>
      <c r="C141" s="1" t="str">
        <f>"暗算"</f>
        <v>暗算</v>
      </c>
      <c r="D141" s="1" t="str">
        <f>IF(教室申込!G59="","",IFERROR(VALUE(教室申込!G59),""))</f>
        <v/>
      </c>
      <c r="E141" s="1" t="str">
        <f>IF(D141="","",COUNT($D$2:D141))</f>
        <v/>
      </c>
      <c r="F141" s="1" t="str">
        <f>IF(COUNTA(教室申込!$C$4)=0,"",教室申込!$C$4)</f>
        <v/>
      </c>
      <c r="G141" s="1" t="str">
        <f>IF(教室申込!D59="","",IFERROR(DATE(VALUE(LEFT(教室申込!D59,4)),VALUE(MID(教室申込!D59,6,FIND("/",教室申込!D59,6)-6)),VALUE(MID(教室申込!D59,FIND("/",教室申込!D59,6)+1,2))),""))</f>
        <v/>
      </c>
      <c r="H141" s="1"/>
      <c r="I141" s="1"/>
      <c r="J141" s="1"/>
      <c r="K141" s="1"/>
      <c r="L141" s="1"/>
    </row>
    <row r="142" spans="1:12">
      <c r="A142" s="1">
        <f>141</f>
        <v>141</v>
      </c>
      <c r="B142" s="1">
        <f>59</f>
        <v>59</v>
      </c>
      <c r="C142" s="1" t="str">
        <f>"段位認定"</f>
        <v>段位認定</v>
      </c>
      <c r="D142" s="1" t="str">
        <f>IF(教室申込!H59="","",IFERROR(MATCH(教室申込!H59,料金表!$G$6:$G$8,0),""))</f>
        <v/>
      </c>
      <c r="E142" s="1" t="str">
        <f>IF(D142="","",COUNT($D$2:D142))</f>
        <v/>
      </c>
      <c r="F142" s="1" t="str">
        <f>IF(COUNTA(教室申込!$C$4)=0,"",教室申込!$C$4)</f>
        <v/>
      </c>
      <c r="G142" s="1" t="str">
        <f>IF(教室申込!D59="","",IFERROR(DATE(VALUE(LEFT(教室申込!D59,4)),VALUE(MID(教室申込!D59,6,FIND("/",教室申込!D59,6)-6)),VALUE(MID(教室申込!D59,FIND("/",教室申込!D59,6)+1,2))),""))</f>
        <v/>
      </c>
      <c r="H142" s="1"/>
      <c r="I142" s="1"/>
      <c r="J142" s="1"/>
      <c r="K142" s="1"/>
      <c r="L142" s="1"/>
    </row>
    <row r="143" spans="1:12">
      <c r="A143" s="1">
        <f>142</f>
        <v>142</v>
      </c>
      <c r="B143" s="1">
        <f>60</f>
        <v>60</v>
      </c>
      <c r="C143" s="1" t="str">
        <f>"珠算"</f>
        <v>珠算</v>
      </c>
      <c r="D143" s="1" t="str">
        <f>IF(教室申込!F60="","",IFERROR(VALUE(教室申込!F60),""))</f>
        <v/>
      </c>
      <c r="E143" s="1" t="str">
        <f>IF(D143="","",COUNT($D$2:D143))</f>
        <v/>
      </c>
      <c r="F143" s="1" t="str">
        <f>IF(COUNTA(教室申込!$C$4)=0,"",教室申込!$C$4)</f>
        <v/>
      </c>
      <c r="G143" s="1" t="str">
        <f>IF(教室申込!D60="","",IFERROR(DATE(VALUE(LEFT(教室申込!D60,4)),VALUE(MID(教室申込!D60,6,FIND("/",教室申込!D60,6)-6)),VALUE(MID(教室申込!D60,FIND("/",教室申込!D60,6)+1,2))),""))</f>
        <v/>
      </c>
      <c r="H143" s="1"/>
      <c r="I143" s="1"/>
      <c r="J143" s="1"/>
      <c r="K143" s="1"/>
      <c r="L143" s="1"/>
    </row>
    <row r="144" spans="1:12">
      <c r="A144" s="1">
        <f>143</f>
        <v>143</v>
      </c>
      <c r="B144" s="1">
        <f>60</f>
        <v>60</v>
      </c>
      <c r="C144" s="1" t="str">
        <f>"暗算"</f>
        <v>暗算</v>
      </c>
      <c r="D144" s="1" t="str">
        <f>IF(教室申込!G60="","",IFERROR(VALUE(教室申込!G60),""))</f>
        <v/>
      </c>
      <c r="E144" s="1" t="str">
        <f>IF(D144="","",COUNT($D$2:D144))</f>
        <v/>
      </c>
      <c r="F144" s="1" t="str">
        <f>IF(COUNTA(教室申込!$C$4)=0,"",教室申込!$C$4)</f>
        <v/>
      </c>
      <c r="G144" s="1" t="str">
        <f>IF(教室申込!D60="","",IFERROR(DATE(VALUE(LEFT(教室申込!D60,4)),VALUE(MID(教室申込!D60,6,FIND("/",教室申込!D60,6)-6)),VALUE(MID(教室申込!D60,FIND("/",教室申込!D60,6)+1,2))),""))</f>
        <v/>
      </c>
      <c r="H144" s="1"/>
      <c r="I144" s="1"/>
      <c r="J144" s="1"/>
      <c r="K144" s="1"/>
      <c r="L144" s="1"/>
    </row>
    <row r="145" spans="1:12">
      <c r="A145" s="1">
        <f>144</f>
        <v>144</v>
      </c>
      <c r="B145" s="1">
        <f>60</f>
        <v>60</v>
      </c>
      <c r="C145" s="1" t="str">
        <f>"段位認定"</f>
        <v>段位認定</v>
      </c>
      <c r="D145" s="1" t="str">
        <f>IF(教室申込!H60="","",IFERROR(MATCH(教室申込!H60,料金表!$G$6:$G$8,0),""))</f>
        <v/>
      </c>
      <c r="E145" s="1" t="str">
        <f>IF(D145="","",COUNT($D$2:D145))</f>
        <v/>
      </c>
      <c r="F145" s="1" t="str">
        <f>IF(COUNTA(教室申込!$C$4)=0,"",教室申込!$C$4)</f>
        <v/>
      </c>
      <c r="G145" s="1" t="str">
        <f>IF(教室申込!D60="","",IFERROR(DATE(VALUE(LEFT(教室申込!D60,4)),VALUE(MID(教室申込!D60,6,FIND("/",教室申込!D60,6)-6)),VALUE(MID(教室申込!D60,FIND("/",教室申込!D60,6)+1,2))),""))</f>
        <v/>
      </c>
      <c r="H145" s="1"/>
      <c r="I145" s="1"/>
      <c r="J145" s="1"/>
      <c r="K145" s="1"/>
      <c r="L145" s="1"/>
    </row>
    <row r="146" spans="1:12">
      <c r="A146" s="1">
        <f>145</f>
        <v>145</v>
      </c>
      <c r="B146" s="1">
        <f>61</f>
        <v>61</v>
      </c>
      <c r="C146" s="1" t="str">
        <f>"珠算"</f>
        <v>珠算</v>
      </c>
      <c r="D146" s="1" t="str">
        <f>IF(教室申込!F61="","",IFERROR(VALUE(教室申込!F61),""))</f>
        <v/>
      </c>
      <c r="E146" s="1" t="str">
        <f>IF(D146="","",COUNT($D$2:D146))</f>
        <v/>
      </c>
      <c r="F146" s="1" t="str">
        <f>IF(COUNTA(教室申込!$C$4)=0,"",教室申込!$C$4)</f>
        <v/>
      </c>
      <c r="G146" s="1" t="str">
        <f>IF(教室申込!D61="","",IFERROR(DATE(VALUE(LEFT(教室申込!D61,4)),VALUE(MID(教室申込!D61,6,FIND("/",教室申込!D61,6)-6)),VALUE(MID(教室申込!D61,FIND("/",教室申込!D61,6)+1,2))),""))</f>
        <v/>
      </c>
      <c r="H146" s="1"/>
      <c r="I146" s="1"/>
      <c r="J146" s="1"/>
      <c r="K146" s="1"/>
      <c r="L146" s="1"/>
    </row>
    <row r="147" spans="1:12">
      <c r="A147" s="1">
        <f>146</f>
        <v>146</v>
      </c>
      <c r="B147" s="1">
        <f>61</f>
        <v>61</v>
      </c>
      <c r="C147" s="1" t="str">
        <f>"暗算"</f>
        <v>暗算</v>
      </c>
      <c r="D147" s="1" t="str">
        <f>IF(教室申込!G61="","",IFERROR(VALUE(教室申込!G61),""))</f>
        <v/>
      </c>
      <c r="E147" s="1" t="str">
        <f>IF(D147="","",COUNT($D$2:D147))</f>
        <v/>
      </c>
      <c r="F147" s="1" t="str">
        <f>IF(COUNTA(教室申込!$C$4)=0,"",教室申込!$C$4)</f>
        <v/>
      </c>
      <c r="G147" s="1" t="str">
        <f>IF(教室申込!D61="","",IFERROR(DATE(VALUE(LEFT(教室申込!D61,4)),VALUE(MID(教室申込!D61,6,FIND("/",教室申込!D61,6)-6)),VALUE(MID(教室申込!D61,FIND("/",教室申込!D61,6)+1,2))),""))</f>
        <v/>
      </c>
      <c r="H147" s="1"/>
      <c r="I147" s="1"/>
      <c r="J147" s="1"/>
      <c r="K147" s="1"/>
      <c r="L147" s="1"/>
    </row>
    <row r="148" spans="1:12">
      <c r="A148" s="1">
        <f>147</f>
        <v>147</v>
      </c>
      <c r="B148" s="1">
        <f>61</f>
        <v>61</v>
      </c>
      <c r="C148" s="1" t="str">
        <f>"段位認定"</f>
        <v>段位認定</v>
      </c>
      <c r="D148" s="1" t="str">
        <f>IF(教室申込!H61="","",IFERROR(MATCH(教室申込!H61,料金表!$G$6:$G$8,0),""))</f>
        <v/>
      </c>
      <c r="E148" s="1" t="str">
        <f>IF(D148="","",COUNT($D$2:D148))</f>
        <v/>
      </c>
      <c r="F148" s="1" t="str">
        <f>IF(COUNTA(教室申込!$C$4)=0,"",教室申込!$C$4)</f>
        <v/>
      </c>
      <c r="G148" s="1" t="str">
        <f>IF(教室申込!D61="","",IFERROR(DATE(VALUE(LEFT(教室申込!D61,4)),VALUE(MID(教室申込!D61,6,FIND("/",教室申込!D61,6)-6)),VALUE(MID(教室申込!D61,FIND("/",教室申込!D61,6)+1,2))),""))</f>
        <v/>
      </c>
      <c r="H148" s="1"/>
      <c r="I148" s="1"/>
      <c r="J148" s="1"/>
      <c r="K148" s="1"/>
      <c r="L148" s="1"/>
    </row>
    <row r="149" spans="1:12">
      <c r="A149" s="1">
        <f>148</f>
        <v>148</v>
      </c>
      <c r="B149" s="1">
        <f>62</f>
        <v>62</v>
      </c>
      <c r="C149" s="1" t="str">
        <f>"珠算"</f>
        <v>珠算</v>
      </c>
      <c r="D149" s="1" t="str">
        <f>IF(教室申込!F62="","",IFERROR(VALUE(教室申込!F62),""))</f>
        <v/>
      </c>
      <c r="E149" s="1" t="str">
        <f>IF(D149="","",COUNT($D$2:D149))</f>
        <v/>
      </c>
      <c r="F149" s="1" t="str">
        <f>IF(COUNTA(教室申込!$C$4)=0,"",教室申込!$C$4)</f>
        <v/>
      </c>
      <c r="G149" s="1" t="str">
        <f>IF(教室申込!D62="","",IFERROR(DATE(VALUE(LEFT(教室申込!D62,4)),VALUE(MID(教室申込!D62,6,FIND("/",教室申込!D62,6)-6)),VALUE(MID(教室申込!D62,FIND("/",教室申込!D62,6)+1,2))),""))</f>
        <v/>
      </c>
      <c r="H149" s="1"/>
      <c r="I149" s="1"/>
      <c r="J149" s="1"/>
      <c r="K149" s="1"/>
      <c r="L149" s="1"/>
    </row>
    <row r="150" spans="1:12">
      <c r="A150" s="1">
        <f>149</f>
        <v>149</v>
      </c>
      <c r="B150" s="1">
        <f>62</f>
        <v>62</v>
      </c>
      <c r="C150" s="1" t="str">
        <f>"暗算"</f>
        <v>暗算</v>
      </c>
      <c r="D150" s="1" t="str">
        <f>IF(教室申込!G62="","",IFERROR(VALUE(教室申込!G62),""))</f>
        <v/>
      </c>
      <c r="E150" s="1" t="str">
        <f>IF(D150="","",COUNT($D$2:D150))</f>
        <v/>
      </c>
      <c r="F150" s="1" t="str">
        <f>IF(COUNTA(教室申込!$C$4)=0,"",教室申込!$C$4)</f>
        <v/>
      </c>
      <c r="G150" s="1" t="str">
        <f>IF(教室申込!D62="","",IFERROR(DATE(VALUE(LEFT(教室申込!D62,4)),VALUE(MID(教室申込!D62,6,FIND("/",教室申込!D62,6)-6)),VALUE(MID(教室申込!D62,FIND("/",教室申込!D62,6)+1,2))),""))</f>
        <v/>
      </c>
      <c r="H150" s="1"/>
      <c r="I150" s="1"/>
      <c r="J150" s="1"/>
      <c r="K150" s="1"/>
      <c r="L150" s="1"/>
    </row>
    <row r="151" spans="1:12">
      <c r="A151" s="1">
        <f>150</f>
        <v>150</v>
      </c>
      <c r="B151" s="1">
        <f>62</f>
        <v>62</v>
      </c>
      <c r="C151" s="1" t="str">
        <f>"段位認定"</f>
        <v>段位認定</v>
      </c>
      <c r="D151" s="1" t="str">
        <f>IF(教室申込!H62="","",IFERROR(MATCH(教室申込!H62,料金表!$G$6:$G$8,0),""))</f>
        <v/>
      </c>
      <c r="E151" s="1" t="str">
        <f>IF(D151="","",COUNT($D$2:D151))</f>
        <v/>
      </c>
      <c r="F151" s="1" t="str">
        <f>IF(COUNTA(教室申込!$C$4)=0,"",教室申込!$C$4)</f>
        <v/>
      </c>
      <c r="G151" s="1" t="str">
        <f>IF(教室申込!D62="","",IFERROR(DATE(VALUE(LEFT(教室申込!D62,4)),VALUE(MID(教室申込!D62,6,FIND("/",教室申込!D62,6)-6)),VALUE(MID(教室申込!D62,FIND("/",教室申込!D62,6)+1,2))),""))</f>
        <v/>
      </c>
      <c r="H151" s="1"/>
      <c r="I151" s="1"/>
      <c r="J151" s="1"/>
      <c r="K151" s="1"/>
      <c r="L151" s="1"/>
    </row>
    <row r="152" spans="1:12">
      <c r="A152" s="1">
        <f>151</f>
        <v>151</v>
      </c>
      <c r="B152" s="1">
        <f>63</f>
        <v>63</v>
      </c>
      <c r="C152" s="1" t="str">
        <f>"珠算"</f>
        <v>珠算</v>
      </c>
      <c r="D152" s="1" t="str">
        <f>IF(教室申込!F63="","",IFERROR(VALUE(教室申込!F63),""))</f>
        <v/>
      </c>
      <c r="E152" s="1" t="str">
        <f>IF(D152="","",COUNT($D$2:D152))</f>
        <v/>
      </c>
      <c r="F152" s="1" t="str">
        <f>IF(COUNTA(教室申込!$C$4)=0,"",教室申込!$C$4)</f>
        <v/>
      </c>
      <c r="G152" s="1" t="str">
        <f>IF(教室申込!D63="","",IFERROR(DATE(VALUE(LEFT(教室申込!D63,4)),VALUE(MID(教室申込!D63,6,FIND("/",教室申込!D63,6)-6)),VALUE(MID(教室申込!D63,FIND("/",教室申込!D63,6)+1,2))),""))</f>
        <v/>
      </c>
      <c r="H152" s="1"/>
      <c r="I152" s="1"/>
      <c r="J152" s="1"/>
      <c r="K152" s="1"/>
      <c r="L152" s="1"/>
    </row>
    <row r="153" spans="1:12">
      <c r="A153" s="1">
        <f>152</f>
        <v>152</v>
      </c>
      <c r="B153" s="1">
        <f>63</f>
        <v>63</v>
      </c>
      <c r="C153" s="1" t="str">
        <f>"暗算"</f>
        <v>暗算</v>
      </c>
      <c r="D153" s="1" t="str">
        <f>IF(教室申込!G63="","",IFERROR(VALUE(教室申込!G63),""))</f>
        <v/>
      </c>
      <c r="E153" s="1" t="str">
        <f>IF(D153="","",COUNT($D$2:D153))</f>
        <v/>
      </c>
      <c r="F153" s="1" t="str">
        <f>IF(COUNTA(教室申込!$C$4)=0,"",教室申込!$C$4)</f>
        <v/>
      </c>
      <c r="G153" s="1" t="str">
        <f>IF(教室申込!D63="","",IFERROR(DATE(VALUE(LEFT(教室申込!D63,4)),VALUE(MID(教室申込!D63,6,FIND("/",教室申込!D63,6)-6)),VALUE(MID(教室申込!D63,FIND("/",教室申込!D63,6)+1,2))),""))</f>
        <v/>
      </c>
      <c r="H153" s="1"/>
      <c r="I153" s="1"/>
      <c r="J153" s="1"/>
      <c r="K153" s="1"/>
      <c r="L153" s="1"/>
    </row>
    <row r="154" spans="1:12">
      <c r="A154" s="1">
        <f>153</f>
        <v>153</v>
      </c>
      <c r="B154" s="1">
        <f>63</f>
        <v>63</v>
      </c>
      <c r="C154" s="1" t="str">
        <f>"段位認定"</f>
        <v>段位認定</v>
      </c>
      <c r="D154" s="1" t="str">
        <f>IF(教室申込!H63="","",IFERROR(MATCH(教室申込!H63,料金表!$G$6:$G$8,0),""))</f>
        <v/>
      </c>
      <c r="E154" s="1" t="str">
        <f>IF(D154="","",COUNT($D$2:D154))</f>
        <v/>
      </c>
      <c r="F154" s="1" t="str">
        <f>IF(COUNTA(教室申込!$C$4)=0,"",教室申込!$C$4)</f>
        <v/>
      </c>
      <c r="G154" s="1" t="str">
        <f>IF(教室申込!D63="","",IFERROR(DATE(VALUE(LEFT(教室申込!D63,4)),VALUE(MID(教室申込!D63,6,FIND("/",教室申込!D63,6)-6)),VALUE(MID(教室申込!D63,FIND("/",教室申込!D63,6)+1,2))),""))</f>
        <v/>
      </c>
      <c r="H154" s="1"/>
      <c r="I154" s="1"/>
      <c r="J154" s="1"/>
      <c r="K154" s="1"/>
      <c r="L154" s="1"/>
    </row>
    <row r="155" spans="1:12">
      <c r="A155" s="1">
        <f>154</f>
        <v>154</v>
      </c>
      <c r="B155" s="1">
        <f>64</f>
        <v>64</v>
      </c>
      <c r="C155" s="1" t="str">
        <f>"珠算"</f>
        <v>珠算</v>
      </c>
      <c r="D155" s="1" t="str">
        <f>IF(教室申込!F64="","",IFERROR(VALUE(教室申込!F64),""))</f>
        <v/>
      </c>
      <c r="E155" s="1" t="str">
        <f>IF(D155="","",COUNT($D$2:D155))</f>
        <v/>
      </c>
      <c r="F155" s="1" t="str">
        <f>IF(COUNTA(教室申込!$C$4)=0,"",教室申込!$C$4)</f>
        <v/>
      </c>
      <c r="G155" s="1" t="str">
        <f>IF(教室申込!D64="","",IFERROR(DATE(VALUE(LEFT(教室申込!D64,4)),VALUE(MID(教室申込!D64,6,FIND("/",教室申込!D64,6)-6)),VALUE(MID(教室申込!D64,FIND("/",教室申込!D64,6)+1,2))),""))</f>
        <v/>
      </c>
      <c r="H155" s="1"/>
      <c r="I155" s="1"/>
      <c r="J155" s="1"/>
      <c r="K155" s="1"/>
      <c r="L155" s="1"/>
    </row>
    <row r="156" spans="1:12">
      <c r="A156" s="1">
        <f>155</f>
        <v>155</v>
      </c>
      <c r="B156" s="1">
        <f>64</f>
        <v>64</v>
      </c>
      <c r="C156" s="1" t="str">
        <f>"暗算"</f>
        <v>暗算</v>
      </c>
      <c r="D156" s="1" t="str">
        <f>IF(教室申込!G64="","",IFERROR(VALUE(教室申込!G64),""))</f>
        <v/>
      </c>
      <c r="E156" s="1" t="str">
        <f>IF(D156="","",COUNT($D$2:D156))</f>
        <v/>
      </c>
      <c r="F156" s="1" t="str">
        <f>IF(COUNTA(教室申込!$C$4)=0,"",教室申込!$C$4)</f>
        <v/>
      </c>
      <c r="G156" s="1" t="str">
        <f>IF(教室申込!D64="","",IFERROR(DATE(VALUE(LEFT(教室申込!D64,4)),VALUE(MID(教室申込!D64,6,FIND("/",教室申込!D64,6)-6)),VALUE(MID(教室申込!D64,FIND("/",教室申込!D64,6)+1,2))),""))</f>
        <v/>
      </c>
      <c r="H156" s="1"/>
      <c r="I156" s="1"/>
      <c r="J156" s="1"/>
      <c r="K156" s="1"/>
      <c r="L156" s="1"/>
    </row>
    <row r="157" spans="1:12">
      <c r="A157" s="1">
        <f>156</f>
        <v>156</v>
      </c>
      <c r="B157" s="1">
        <f>64</f>
        <v>64</v>
      </c>
      <c r="C157" s="1" t="str">
        <f>"段位認定"</f>
        <v>段位認定</v>
      </c>
      <c r="D157" s="1" t="str">
        <f>IF(教室申込!H64="","",IFERROR(MATCH(教室申込!H64,料金表!$G$6:$G$8,0),""))</f>
        <v/>
      </c>
      <c r="E157" s="1" t="str">
        <f>IF(D157="","",COUNT($D$2:D157))</f>
        <v/>
      </c>
      <c r="F157" s="1" t="str">
        <f>IF(COUNTA(教室申込!$C$4)=0,"",教室申込!$C$4)</f>
        <v/>
      </c>
      <c r="G157" s="1" t="str">
        <f>IF(教室申込!D64="","",IFERROR(DATE(VALUE(LEFT(教室申込!D64,4)),VALUE(MID(教室申込!D64,6,FIND("/",教室申込!D64,6)-6)),VALUE(MID(教室申込!D64,FIND("/",教室申込!D64,6)+1,2))),""))</f>
        <v/>
      </c>
      <c r="H157" s="1"/>
      <c r="I157" s="1"/>
      <c r="J157" s="1"/>
      <c r="K157" s="1"/>
      <c r="L157" s="1"/>
    </row>
    <row r="158" spans="1:12">
      <c r="A158" s="1">
        <f>157</f>
        <v>157</v>
      </c>
      <c r="B158" s="1">
        <f>65</f>
        <v>65</v>
      </c>
      <c r="C158" s="1" t="str">
        <f>"珠算"</f>
        <v>珠算</v>
      </c>
      <c r="D158" s="1" t="str">
        <f>IF(教室申込!F65="","",IFERROR(VALUE(教室申込!F65),""))</f>
        <v/>
      </c>
      <c r="E158" s="1" t="str">
        <f>IF(D158="","",COUNT($D$2:D158))</f>
        <v/>
      </c>
      <c r="F158" s="1" t="str">
        <f>IF(COUNTA(教室申込!$C$4)=0,"",教室申込!$C$4)</f>
        <v/>
      </c>
      <c r="G158" s="1" t="str">
        <f>IF(教室申込!D65="","",IFERROR(DATE(VALUE(LEFT(教室申込!D65,4)),VALUE(MID(教室申込!D65,6,FIND("/",教室申込!D65,6)-6)),VALUE(MID(教室申込!D65,FIND("/",教室申込!D65,6)+1,2))),""))</f>
        <v/>
      </c>
      <c r="H158" s="1"/>
      <c r="I158" s="1"/>
      <c r="J158" s="1"/>
      <c r="K158" s="1"/>
      <c r="L158" s="1"/>
    </row>
    <row r="159" spans="1:12">
      <c r="A159" s="1">
        <f>158</f>
        <v>158</v>
      </c>
      <c r="B159" s="1">
        <f>65</f>
        <v>65</v>
      </c>
      <c r="C159" s="1" t="str">
        <f>"暗算"</f>
        <v>暗算</v>
      </c>
      <c r="D159" s="1" t="str">
        <f>IF(教室申込!G65="","",IFERROR(VALUE(教室申込!G65),""))</f>
        <v/>
      </c>
      <c r="E159" s="1" t="str">
        <f>IF(D159="","",COUNT($D$2:D159))</f>
        <v/>
      </c>
      <c r="F159" s="1" t="str">
        <f>IF(COUNTA(教室申込!$C$4)=0,"",教室申込!$C$4)</f>
        <v/>
      </c>
      <c r="G159" s="1" t="str">
        <f>IF(教室申込!D65="","",IFERROR(DATE(VALUE(LEFT(教室申込!D65,4)),VALUE(MID(教室申込!D65,6,FIND("/",教室申込!D65,6)-6)),VALUE(MID(教室申込!D65,FIND("/",教室申込!D65,6)+1,2))),""))</f>
        <v/>
      </c>
      <c r="H159" s="1"/>
      <c r="I159" s="1"/>
      <c r="J159" s="1"/>
      <c r="K159" s="1"/>
      <c r="L159" s="1"/>
    </row>
    <row r="160" spans="1:12">
      <c r="A160" s="1">
        <f>159</f>
        <v>159</v>
      </c>
      <c r="B160" s="1">
        <f>65</f>
        <v>65</v>
      </c>
      <c r="C160" s="1" t="str">
        <f>"段位認定"</f>
        <v>段位認定</v>
      </c>
      <c r="D160" s="1" t="str">
        <f>IF(教室申込!H65="","",IFERROR(MATCH(教室申込!H65,料金表!$G$6:$G$8,0),""))</f>
        <v/>
      </c>
      <c r="E160" s="1" t="str">
        <f>IF(D160="","",COUNT($D$2:D160))</f>
        <v/>
      </c>
      <c r="F160" s="1" t="str">
        <f>IF(COUNTA(教室申込!$C$4)=0,"",教室申込!$C$4)</f>
        <v/>
      </c>
      <c r="G160" s="1" t="str">
        <f>IF(教室申込!D65="","",IFERROR(DATE(VALUE(LEFT(教室申込!D65,4)),VALUE(MID(教室申込!D65,6,FIND("/",教室申込!D65,6)-6)),VALUE(MID(教室申込!D65,FIND("/",教室申込!D65,6)+1,2))),""))</f>
        <v/>
      </c>
      <c r="H160" s="1"/>
      <c r="I160" s="1"/>
      <c r="J160" s="1"/>
      <c r="K160" s="1"/>
      <c r="L160" s="1"/>
    </row>
    <row r="161" spans="1:12">
      <c r="A161" s="1">
        <f>160</f>
        <v>160</v>
      </c>
      <c r="B161" s="1">
        <f>66</f>
        <v>66</v>
      </c>
      <c r="C161" s="1" t="str">
        <f>"珠算"</f>
        <v>珠算</v>
      </c>
      <c r="D161" s="1" t="str">
        <f>IF(教室申込!F66="","",IFERROR(VALUE(教室申込!F66),""))</f>
        <v/>
      </c>
      <c r="E161" s="1" t="str">
        <f>IF(D161="","",COUNT($D$2:D161))</f>
        <v/>
      </c>
      <c r="F161" s="1" t="str">
        <f>IF(COUNTA(教室申込!$C$4)=0,"",教室申込!$C$4)</f>
        <v/>
      </c>
      <c r="G161" s="1" t="str">
        <f>IF(教室申込!D66="","",IFERROR(DATE(VALUE(LEFT(教室申込!D66,4)),VALUE(MID(教室申込!D66,6,FIND("/",教室申込!D66,6)-6)),VALUE(MID(教室申込!D66,FIND("/",教室申込!D66,6)+1,2))),""))</f>
        <v/>
      </c>
      <c r="H161" s="1"/>
      <c r="I161" s="1"/>
      <c r="J161" s="1"/>
      <c r="K161" s="1"/>
      <c r="L161" s="1"/>
    </row>
    <row r="162" spans="1:12">
      <c r="A162" s="1">
        <f>161</f>
        <v>161</v>
      </c>
      <c r="B162" s="1">
        <f>66</f>
        <v>66</v>
      </c>
      <c r="C162" s="1" t="str">
        <f>"暗算"</f>
        <v>暗算</v>
      </c>
      <c r="D162" s="1" t="str">
        <f>IF(教室申込!G66="","",IFERROR(VALUE(教室申込!G66),""))</f>
        <v/>
      </c>
      <c r="E162" s="1" t="str">
        <f>IF(D162="","",COUNT($D$2:D162))</f>
        <v/>
      </c>
      <c r="F162" s="1" t="str">
        <f>IF(COUNTA(教室申込!$C$4)=0,"",教室申込!$C$4)</f>
        <v/>
      </c>
      <c r="G162" s="1" t="str">
        <f>IF(教室申込!D66="","",IFERROR(DATE(VALUE(LEFT(教室申込!D66,4)),VALUE(MID(教室申込!D66,6,FIND("/",教室申込!D66,6)-6)),VALUE(MID(教室申込!D66,FIND("/",教室申込!D66,6)+1,2))),""))</f>
        <v/>
      </c>
      <c r="H162" s="1"/>
      <c r="I162" s="1"/>
      <c r="J162" s="1"/>
      <c r="K162" s="1"/>
      <c r="L162" s="1"/>
    </row>
    <row r="163" spans="1:12">
      <c r="A163" s="1">
        <f>162</f>
        <v>162</v>
      </c>
      <c r="B163" s="1">
        <f>66</f>
        <v>66</v>
      </c>
      <c r="C163" s="1" t="str">
        <f>"段位認定"</f>
        <v>段位認定</v>
      </c>
      <c r="D163" s="1" t="str">
        <f>IF(教室申込!H66="","",IFERROR(MATCH(教室申込!H66,料金表!$G$6:$G$8,0),""))</f>
        <v/>
      </c>
      <c r="E163" s="1" t="str">
        <f>IF(D163="","",COUNT($D$2:D163))</f>
        <v/>
      </c>
      <c r="F163" s="1" t="str">
        <f>IF(COUNTA(教室申込!$C$4)=0,"",教室申込!$C$4)</f>
        <v/>
      </c>
      <c r="G163" s="1" t="str">
        <f>IF(教室申込!D66="","",IFERROR(DATE(VALUE(LEFT(教室申込!D66,4)),VALUE(MID(教室申込!D66,6,FIND("/",教室申込!D66,6)-6)),VALUE(MID(教室申込!D66,FIND("/",教室申込!D66,6)+1,2))),""))</f>
        <v/>
      </c>
      <c r="H163" s="1"/>
      <c r="I163" s="1"/>
      <c r="J163" s="1"/>
      <c r="K163" s="1"/>
      <c r="L163" s="1"/>
    </row>
    <row r="164" spans="1:12">
      <c r="A164" s="1">
        <f>163</f>
        <v>163</v>
      </c>
      <c r="B164" s="1">
        <f>67</f>
        <v>67</v>
      </c>
      <c r="C164" s="1" t="str">
        <f>"珠算"</f>
        <v>珠算</v>
      </c>
      <c r="D164" s="1" t="str">
        <f>IF(教室申込!F67="","",IFERROR(VALUE(教室申込!F67),""))</f>
        <v/>
      </c>
      <c r="E164" s="1" t="str">
        <f>IF(D164="","",COUNT($D$2:D164))</f>
        <v/>
      </c>
      <c r="F164" s="1" t="str">
        <f>IF(COUNTA(教室申込!$C$4)=0,"",教室申込!$C$4)</f>
        <v/>
      </c>
      <c r="G164" s="1" t="str">
        <f>IF(教室申込!D67="","",IFERROR(DATE(VALUE(LEFT(教室申込!D67,4)),VALUE(MID(教室申込!D67,6,FIND("/",教室申込!D67,6)-6)),VALUE(MID(教室申込!D67,FIND("/",教室申込!D67,6)+1,2))),""))</f>
        <v/>
      </c>
      <c r="H164" s="1"/>
      <c r="I164" s="1"/>
      <c r="J164" s="1"/>
      <c r="K164" s="1"/>
      <c r="L164" s="1"/>
    </row>
    <row r="165" spans="1:12">
      <c r="A165" s="1">
        <f>164</f>
        <v>164</v>
      </c>
      <c r="B165" s="1">
        <f>67</f>
        <v>67</v>
      </c>
      <c r="C165" s="1" t="str">
        <f>"暗算"</f>
        <v>暗算</v>
      </c>
      <c r="D165" s="1" t="str">
        <f>IF(教室申込!G67="","",IFERROR(VALUE(教室申込!G67),""))</f>
        <v/>
      </c>
      <c r="E165" s="1" t="str">
        <f>IF(D165="","",COUNT($D$2:D165))</f>
        <v/>
      </c>
      <c r="F165" s="1" t="str">
        <f>IF(COUNTA(教室申込!$C$4)=0,"",教室申込!$C$4)</f>
        <v/>
      </c>
      <c r="G165" s="1" t="str">
        <f>IF(教室申込!D67="","",IFERROR(DATE(VALUE(LEFT(教室申込!D67,4)),VALUE(MID(教室申込!D67,6,FIND("/",教室申込!D67,6)-6)),VALUE(MID(教室申込!D67,FIND("/",教室申込!D67,6)+1,2))),""))</f>
        <v/>
      </c>
      <c r="H165" s="1"/>
      <c r="I165" s="1"/>
      <c r="J165" s="1"/>
      <c r="K165" s="1"/>
      <c r="L165" s="1"/>
    </row>
    <row r="166" spans="1:12">
      <c r="A166" s="1">
        <f>165</f>
        <v>165</v>
      </c>
      <c r="B166" s="1">
        <f>67</f>
        <v>67</v>
      </c>
      <c r="C166" s="1" t="str">
        <f>"段位認定"</f>
        <v>段位認定</v>
      </c>
      <c r="D166" s="1" t="str">
        <f>IF(教室申込!H67="","",IFERROR(MATCH(教室申込!H67,料金表!$G$6:$G$8,0),""))</f>
        <v/>
      </c>
      <c r="E166" s="1" t="str">
        <f>IF(D166="","",COUNT($D$2:D166))</f>
        <v/>
      </c>
      <c r="F166" s="1" t="str">
        <f>IF(COUNTA(教室申込!$C$4)=0,"",教室申込!$C$4)</f>
        <v/>
      </c>
      <c r="G166" s="1" t="str">
        <f>IF(教室申込!D67="","",IFERROR(DATE(VALUE(LEFT(教室申込!D67,4)),VALUE(MID(教室申込!D67,6,FIND("/",教室申込!D67,6)-6)),VALUE(MID(教室申込!D67,FIND("/",教室申込!D67,6)+1,2))),""))</f>
        <v/>
      </c>
      <c r="H166" s="1"/>
      <c r="I166" s="1"/>
      <c r="J166" s="1"/>
      <c r="K166" s="1"/>
      <c r="L166" s="1"/>
    </row>
    <row r="167" spans="1:12">
      <c r="A167" s="1">
        <f>166</f>
        <v>166</v>
      </c>
      <c r="B167" s="1">
        <f>68</f>
        <v>68</v>
      </c>
      <c r="C167" s="1" t="str">
        <f>"珠算"</f>
        <v>珠算</v>
      </c>
      <c r="D167" s="1" t="str">
        <f>IF(教室申込!F68="","",IFERROR(VALUE(教室申込!F68),""))</f>
        <v/>
      </c>
      <c r="E167" s="1" t="str">
        <f>IF(D167="","",COUNT($D$2:D167))</f>
        <v/>
      </c>
      <c r="F167" s="1" t="str">
        <f>IF(COUNTA(教室申込!$C$4)=0,"",教室申込!$C$4)</f>
        <v/>
      </c>
      <c r="G167" s="1" t="str">
        <f>IF(教室申込!D68="","",IFERROR(DATE(VALUE(LEFT(教室申込!D68,4)),VALUE(MID(教室申込!D68,6,FIND("/",教室申込!D68,6)-6)),VALUE(MID(教室申込!D68,FIND("/",教室申込!D68,6)+1,2))),""))</f>
        <v/>
      </c>
      <c r="H167" s="1"/>
      <c r="I167" s="1"/>
      <c r="J167" s="1"/>
      <c r="K167" s="1"/>
      <c r="L167" s="1"/>
    </row>
    <row r="168" spans="1:12">
      <c r="A168" s="1">
        <f>167</f>
        <v>167</v>
      </c>
      <c r="B168" s="1">
        <f>68</f>
        <v>68</v>
      </c>
      <c r="C168" s="1" t="str">
        <f>"暗算"</f>
        <v>暗算</v>
      </c>
      <c r="D168" s="1" t="str">
        <f>IF(教室申込!G68="","",IFERROR(VALUE(教室申込!G68),""))</f>
        <v/>
      </c>
      <c r="E168" s="1" t="str">
        <f>IF(D168="","",COUNT($D$2:D168))</f>
        <v/>
      </c>
      <c r="F168" s="1" t="str">
        <f>IF(COUNTA(教室申込!$C$4)=0,"",教室申込!$C$4)</f>
        <v/>
      </c>
      <c r="G168" s="1" t="str">
        <f>IF(教室申込!D68="","",IFERROR(DATE(VALUE(LEFT(教室申込!D68,4)),VALUE(MID(教室申込!D68,6,FIND("/",教室申込!D68,6)-6)),VALUE(MID(教室申込!D68,FIND("/",教室申込!D68,6)+1,2))),""))</f>
        <v/>
      </c>
      <c r="H168" s="1"/>
      <c r="I168" s="1"/>
      <c r="J168" s="1"/>
      <c r="K168" s="1"/>
      <c r="L168" s="1"/>
    </row>
    <row r="169" spans="1:12">
      <c r="A169" s="1">
        <f>168</f>
        <v>168</v>
      </c>
      <c r="B169" s="1">
        <f>68</f>
        <v>68</v>
      </c>
      <c r="C169" s="1" t="str">
        <f>"段位認定"</f>
        <v>段位認定</v>
      </c>
      <c r="D169" s="1" t="str">
        <f>IF(教室申込!H68="","",IFERROR(MATCH(教室申込!H68,料金表!$G$6:$G$8,0),""))</f>
        <v/>
      </c>
      <c r="E169" s="1" t="str">
        <f>IF(D169="","",COUNT($D$2:D169))</f>
        <v/>
      </c>
      <c r="F169" s="1" t="str">
        <f>IF(COUNTA(教室申込!$C$4)=0,"",教室申込!$C$4)</f>
        <v/>
      </c>
      <c r="G169" s="1" t="str">
        <f>IF(教室申込!D68="","",IFERROR(DATE(VALUE(LEFT(教室申込!D68,4)),VALUE(MID(教室申込!D68,6,FIND("/",教室申込!D68,6)-6)),VALUE(MID(教室申込!D68,FIND("/",教室申込!D68,6)+1,2))),""))</f>
        <v/>
      </c>
      <c r="H169" s="1"/>
      <c r="I169" s="1"/>
      <c r="J169" s="1"/>
      <c r="K169" s="1"/>
      <c r="L169" s="1"/>
    </row>
    <row r="170" spans="1:12">
      <c r="A170" s="1">
        <f>169</f>
        <v>169</v>
      </c>
      <c r="B170" s="1">
        <f>69</f>
        <v>69</v>
      </c>
      <c r="C170" s="1" t="str">
        <f>"珠算"</f>
        <v>珠算</v>
      </c>
      <c r="D170" s="1" t="str">
        <f>IF(教室申込!F69="","",IFERROR(VALUE(教室申込!F69),""))</f>
        <v/>
      </c>
      <c r="E170" s="1" t="str">
        <f>IF(D170="","",COUNT($D$2:D170))</f>
        <v/>
      </c>
      <c r="F170" s="1" t="str">
        <f>IF(COUNTA(教室申込!$C$4)=0,"",教室申込!$C$4)</f>
        <v/>
      </c>
      <c r="G170" s="1" t="str">
        <f>IF(教室申込!D69="","",IFERROR(DATE(VALUE(LEFT(教室申込!D69,4)),VALUE(MID(教室申込!D69,6,FIND("/",教室申込!D69,6)-6)),VALUE(MID(教室申込!D69,FIND("/",教室申込!D69,6)+1,2))),""))</f>
        <v/>
      </c>
      <c r="H170" s="1"/>
      <c r="I170" s="1"/>
      <c r="J170" s="1"/>
      <c r="K170" s="1"/>
      <c r="L170" s="1"/>
    </row>
    <row r="171" spans="1:12">
      <c r="A171" s="1">
        <f>170</f>
        <v>170</v>
      </c>
      <c r="B171" s="1">
        <f>69</f>
        <v>69</v>
      </c>
      <c r="C171" s="1" t="str">
        <f>"暗算"</f>
        <v>暗算</v>
      </c>
      <c r="D171" s="1" t="str">
        <f>IF(教室申込!G69="","",IFERROR(VALUE(教室申込!G69),""))</f>
        <v/>
      </c>
      <c r="E171" s="1" t="str">
        <f>IF(D171="","",COUNT($D$2:D171))</f>
        <v/>
      </c>
      <c r="F171" s="1" t="str">
        <f>IF(COUNTA(教室申込!$C$4)=0,"",教室申込!$C$4)</f>
        <v/>
      </c>
      <c r="G171" s="1" t="str">
        <f>IF(教室申込!D69="","",IFERROR(DATE(VALUE(LEFT(教室申込!D69,4)),VALUE(MID(教室申込!D69,6,FIND("/",教室申込!D69,6)-6)),VALUE(MID(教室申込!D69,FIND("/",教室申込!D69,6)+1,2))),""))</f>
        <v/>
      </c>
      <c r="H171" s="1"/>
      <c r="I171" s="1"/>
      <c r="J171" s="1"/>
      <c r="K171" s="1"/>
      <c r="L171" s="1"/>
    </row>
    <row r="172" spans="1:12">
      <c r="A172" s="1">
        <f>171</f>
        <v>171</v>
      </c>
      <c r="B172" s="1">
        <f>69</f>
        <v>69</v>
      </c>
      <c r="C172" s="1" t="str">
        <f>"段位認定"</f>
        <v>段位認定</v>
      </c>
      <c r="D172" s="1" t="str">
        <f>IF(教室申込!H69="","",IFERROR(MATCH(教室申込!H69,料金表!$G$6:$G$8,0),""))</f>
        <v/>
      </c>
      <c r="E172" s="1" t="str">
        <f>IF(D172="","",COUNT($D$2:D172))</f>
        <v/>
      </c>
      <c r="F172" s="1" t="str">
        <f>IF(COUNTA(教室申込!$C$4)=0,"",教室申込!$C$4)</f>
        <v/>
      </c>
      <c r="G172" s="1" t="str">
        <f>IF(教室申込!D69="","",IFERROR(DATE(VALUE(LEFT(教室申込!D69,4)),VALUE(MID(教室申込!D69,6,FIND("/",教室申込!D69,6)-6)),VALUE(MID(教室申込!D69,FIND("/",教室申込!D69,6)+1,2))),""))</f>
        <v/>
      </c>
      <c r="H172" s="1"/>
      <c r="I172" s="1"/>
      <c r="J172" s="1"/>
      <c r="K172" s="1"/>
      <c r="L172" s="1"/>
    </row>
    <row r="173" spans="1:12">
      <c r="A173" s="1">
        <f>172</f>
        <v>172</v>
      </c>
      <c r="B173" s="1">
        <f>70</f>
        <v>70</v>
      </c>
      <c r="C173" s="1" t="str">
        <f>"珠算"</f>
        <v>珠算</v>
      </c>
      <c r="D173" s="1" t="str">
        <f>IF(教室申込!F70="","",IFERROR(VALUE(教室申込!F70),""))</f>
        <v/>
      </c>
      <c r="E173" s="1" t="str">
        <f>IF(D173="","",COUNT($D$2:D173))</f>
        <v/>
      </c>
      <c r="F173" s="1" t="str">
        <f>IF(COUNTA(教室申込!$C$4)=0,"",教室申込!$C$4)</f>
        <v/>
      </c>
      <c r="G173" s="1" t="str">
        <f>IF(教室申込!D70="","",IFERROR(DATE(VALUE(LEFT(教室申込!D70,4)),VALUE(MID(教室申込!D70,6,FIND("/",教室申込!D70,6)-6)),VALUE(MID(教室申込!D70,FIND("/",教室申込!D70,6)+1,2))),""))</f>
        <v/>
      </c>
      <c r="H173" s="1"/>
      <c r="I173" s="1"/>
      <c r="J173" s="1"/>
      <c r="K173" s="1"/>
      <c r="L173" s="1"/>
    </row>
    <row r="174" spans="1:12">
      <c r="A174" s="1">
        <f>173</f>
        <v>173</v>
      </c>
      <c r="B174" s="1">
        <f>70</f>
        <v>70</v>
      </c>
      <c r="C174" s="1" t="str">
        <f>"暗算"</f>
        <v>暗算</v>
      </c>
      <c r="D174" s="1" t="str">
        <f>IF(教室申込!G70="","",IFERROR(VALUE(教室申込!G70),""))</f>
        <v/>
      </c>
      <c r="E174" s="1" t="str">
        <f>IF(D174="","",COUNT($D$2:D174))</f>
        <v/>
      </c>
      <c r="F174" s="1" t="str">
        <f>IF(COUNTA(教室申込!$C$4)=0,"",教室申込!$C$4)</f>
        <v/>
      </c>
      <c r="G174" s="1" t="str">
        <f>IF(教室申込!D70="","",IFERROR(DATE(VALUE(LEFT(教室申込!D70,4)),VALUE(MID(教室申込!D70,6,FIND("/",教室申込!D70,6)-6)),VALUE(MID(教室申込!D70,FIND("/",教室申込!D70,6)+1,2))),""))</f>
        <v/>
      </c>
      <c r="H174" s="1"/>
      <c r="I174" s="1"/>
      <c r="J174" s="1"/>
      <c r="K174" s="1"/>
      <c r="L174" s="1"/>
    </row>
    <row r="175" spans="1:12">
      <c r="A175" s="1">
        <f>174</f>
        <v>174</v>
      </c>
      <c r="B175" s="1">
        <f>70</f>
        <v>70</v>
      </c>
      <c r="C175" s="1" t="str">
        <f>"段位認定"</f>
        <v>段位認定</v>
      </c>
      <c r="D175" s="1" t="str">
        <f>IF(教室申込!H70="","",IFERROR(MATCH(教室申込!H70,料金表!$G$6:$G$8,0),""))</f>
        <v/>
      </c>
      <c r="E175" s="1" t="str">
        <f>IF(D175="","",COUNT($D$2:D175))</f>
        <v/>
      </c>
      <c r="F175" s="1" t="str">
        <f>IF(COUNTA(教室申込!$C$4)=0,"",教室申込!$C$4)</f>
        <v/>
      </c>
      <c r="G175" s="1" t="str">
        <f>IF(教室申込!D70="","",IFERROR(DATE(VALUE(LEFT(教室申込!D70,4)),VALUE(MID(教室申込!D70,6,FIND("/",教室申込!D70,6)-6)),VALUE(MID(教室申込!D70,FIND("/",教室申込!D70,6)+1,2))),""))</f>
        <v/>
      </c>
      <c r="H175" s="1"/>
      <c r="I175" s="1"/>
      <c r="J175" s="1"/>
      <c r="K175" s="1"/>
      <c r="L175" s="1"/>
    </row>
    <row r="176" spans="1:12">
      <c r="A176" s="1">
        <f>175</f>
        <v>175</v>
      </c>
      <c r="B176" s="1">
        <f>71</f>
        <v>71</v>
      </c>
      <c r="C176" s="1" t="str">
        <f>"珠算"</f>
        <v>珠算</v>
      </c>
      <c r="D176" s="1" t="str">
        <f>IF(教室申込!F71="","",IFERROR(VALUE(教室申込!F71),""))</f>
        <v/>
      </c>
      <c r="E176" s="1" t="str">
        <f>IF(D176="","",COUNT($D$2:D176))</f>
        <v/>
      </c>
      <c r="F176" s="1" t="str">
        <f>IF(COUNTA(教室申込!$C$4)=0,"",教室申込!$C$4)</f>
        <v/>
      </c>
      <c r="G176" s="1" t="str">
        <f>IF(教室申込!D71="","",IFERROR(DATE(VALUE(LEFT(教室申込!D71,4)),VALUE(MID(教室申込!D71,6,FIND("/",教室申込!D71,6)-6)),VALUE(MID(教室申込!D71,FIND("/",教室申込!D71,6)+1,2))),""))</f>
        <v/>
      </c>
      <c r="H176" s="1"/>
      <c r="I176" s="1"/>
      <c r="J176" s="1"/>
      <c r="K176" s="1"/>
      <c r="L176" s="1"/>
    </row>
    <row r="177" spans="1:12">
      <c r="A177" s="1">
        <f>176</f>
        <v>176</v>
      </c>
      <c r="B177" s="1">
        <f>71</f>
        <v>71</v>
      </c>
      <c r="C177" s="1" t="str">
        <f>"暗算"</f>
        <v>暗算</v>
      </c>
      <c r="D177" s="1" t="str">
        <f>IF(教室申込!G71="","",IFERROR(VALUE(教室申込!G71),""))</f>
        <v/>
      </c>
      <c r="E177" s="1" t="str">
        <f>IF(D177="","",COUNT($D$2:D177))</f>
        <v/>
      </c>
      <c r="F177" s="1" t="str">
        <f>IF(COUNTA(教室申込!$C$4)=0,"",教室申込!$C$4)</f>
        <v/>
      </c>
      <c r="G177" s="1" t="str">
        <f>IF(教室申込!D71="","",IFERROR(DATE(VALUE(LEFT(教室申込!D71,4)),VALUE(MID(教室申込!D71,6,FIND("/",教室申込!D71,6)-6)),VALUE(MID(教室申込!D71,FIND("/",教室申込!D71,6)+1,2))),""))</f>
        <v/>
      </c>
      <c r="H177" s="1"/>
      <c r="I177" s="1"/>
      <c r="J177" s="1"/>
      <c r="K177" s="1"/>
      <c r="L177" s="1"/>
    </row>
    <row r="178" spans="1:12">
      <c r="A178" s="1">
        <f>177</f>
        <v>177</v>
      </c>
      <c r="B178" s="1">
        <f>71</f>
        <v>71</v>
      </c>
      <c r="C178" s="1" t="str">
        <f>"段位認定"</f>
        <v>段位認定</v>
      </c>
      <c r="D178" s="1" t="str">
        <f>IF(教室申込!H71="","",IFERROR(MATCH(教室申込!H71,料金表!$G$6:$G$8,0),""))</f>
        <v/>
      </c>
      <c r="E178" s="1" t="str">
        <f>IF(D178="","",COUNT($D$2:D178))</f>
        <v/>
      </c>
      <c r="F178" s="1" t="str">
        <f>IF(COUNTA(教室申込!$C$4)=0,"",教室申込!$C$4)</f>
        <v/>
      </c>
      <c r="G178" s="1" t="str">
        <f>IF(教室申込!D71="","",IFERROR(DATE(VALUE(LEFT(教室申込!D71,4)),VALUE(MID(教室申込!D71,6,FIND("/",教室申込!D71,6)-6)),VALUE(MID(教室申込!D71,FIND("/",教室申込!D71,6)+1,2))),""))</f>
        <v/>
      </c>
      <c r="H178" s="1"/>
      <c r="I178" s="1"/>
      <c r="J178" s="1"/>
      <c r="K178" s="1"/>
      <c r="L178" s="1"/>
    </row>
    <row r="179" spans="1:12">
      <c r="A179" s="1">
        <f>178</f>
        <v>178</v>
      </c>
      <c r="B179" s="1">
        <f>72</f>
        <v>72</v>
      </c>
      <c r="C179" s="1" t="str">
        <f>"珠算"</f>
        <v>珠算</v>
      </c>
      <c r="D179" s="1" t="str">
        <f>IF(教室申込!F72="","",IFERROR(VALUE(教室申込!F72),""))</f>
        <v/>
      </c>
      <c r="E179" s="1" t="str">
        <f>IF(D179="","",COUNT($D$2:D179))</f>
        <v/>
      </c>
      <c r="F179" s="1" t="str">
        <f>IF(COUNTA(教室申込!$C$4)=0,"",教室申込!$C$4)</f>
        <v/>
      </c>
      <c r="G179" s="1" t="str">
        <f>IF(教室申込!D72="","",IFERROR(DATE(VALUE(LEFT(教室申込!D72,4)),VALUE(MID(教室申込!D72,6,FIND("/",教室申込!D72,6)-6)),VALUE(MID(教室申込!D72,FIND("/",教室申込!D72,6)+1,2))),""))</f>
        <v/>
      </c>
      <c r="H179" s="1"/>
      <c r="I179" s="1"/>
      <c r="J179" s="1"/>
      <c r="K179" s="1"/>
      <c r="L179" s="1"/>
    </row>
    <row r="180" spans="1:12">
      <c r="A180" s="1">
        <f>179</f>
        <v>179</v>
      </c>
      <c r="B180" s="1">
        <f>72</f>
        <v>72</v>
      </c>
      <c r="C180" s="1" t="str">
        <f>"暗算"</f>
        <v>暗算</v>
      </c>
      <c r="D180" s="1" t="str">
        <f>IF(教室申込!G72="","",IFERROR(VALUE(教室申込!G72),""))</f>
        <v/>
      </c>
      <c r="E180" s="1" t="str">
        <f>IF(D180="","",COUNT($D$2:D180))</f>
        <v/>
      </c>
      <c r="F180" s="1" t="str">
        <f>IF(COUNTA(教室申込!$C$4)=0,"",教室申込!$C$4)</f>
        <v/>
      </c>
      <c r="G180" s="1" t="str">
        <f>IF(教室申込!D72="","",IFERROR(DATE(VALUE(LEFT(教室申込!D72,4)),VALUE(MID(教室申込!D72,6,FIND("/",教室申込!D72,6)-6)),VALUE(MID(教室申込!D72,FIND("/",教室申込!D72,6)+1,2))),""))</f>
        <v/>
      </c>
      <c r="H180" s="1"/>
      <c r="I180" s="1"/>
      <c r="J180" s="1"/>
      <c r="K180" s="1"/>
      <c r="L180" s="1"/>
    </row>
    <row r="181" spans="1:12">
      <c r="A181" s="1">
        <f>180</f>
        <v>180</v>
      </c>
      <c r="B181" s="1">
        <f>72</f>
        <v>72</v>
      </c>
      <c r="C181" s="1" t="str">
        <f>"段位認定"</f>
        <v>段位認定</v>
      </c>
      <c r="D181" s="1" t="str">
        <f>IF(教室申込!H72="","",IFERROR(MATCH(教室申込!H72,料金表!$G$6:$G$8,0),""))</f>
        <v/>
      </c>
      <c r="E181" s="1" t="str">
        <f>IF(D181="","",COUNT($D$2:D181))</f>
        <v/>
      </c>
      <c r="F181" s="1" t="str">
        <f>IF(COUNTA(教室申込!$C$4)=0,"",教室申込!$C$4)</f>
        <v/>
      </c>
      <c r="G181" s="1" t="str">
        <f>IF(教室申込!D72="","",IFERROR(DATE(VALUE(LEFT(教室申込!D72,4)),VALUE(MID(教室申込!D72,6,FIND("/",教室申込!D72,6)-6)),VALUE(MID(教室申込!D72,FIND("/",教室申込!D72,6)+1,2))),""))</f>
        <v/>
      </c>
      <c r="H181" s="1"/>
      <c r="I181" s="1"/>
      <c r="J181" s="1"/>
      <c r="K181" s="1"/>
      <c r="L181" s="1"/>
    </row>
    <row r="182" spans="1:12">
      <c r="A182" s="1">
        <f>181</f>
        <v>181</v>
      </c>
      <c r="B182" s="1">
        <f>73</f>
        <v>73</v>
      </c>
      <c r="C182" s="1" t="str">
        <f>"珠算"</f>
        <v>珠算</v>
      </c>
      <c r="D182" s="1" t="str">
        <f>IF(教室申込!F73="","",IFERROR(VALUE(教室申込!F73),""))</f>
        <v/>
      </c>
      <c r="E182" s="1" t="str">
        <f>IF(D182="","",COUNT($D$2:D182))</f>
        <v/>
      </c>
      <c r="F182" s="1" t="str">
        <f>IF(COUNTA(教室申込!$C$4)=0,"",教室申込!$C$4)</f>
        <v/>
      </c>
      <c r="G182" s="1" t="str">
        <f>IF(教室申込!D73="","",IFERROR(DATE(VALUE(LEFT(教室申込!D73,4)),VALUE(MID(教室申込!D73,6,FIND("/",教室申込!D73,6)-6)),VALUE(MID(教室申込!D73,FIND("/",教室申込!D73,6)+1,2))),""))</f>
        <v/>
      </c>
      <c r="H182" s="1"/>
      <c r="I182" s="1"/>
      <c r="J182" s="1"/>
      <c r="K182" s="1"/>
      <c r="L182" s="1"/>
    </row>
    <row r="183" spans="1:12">
      <c r="A183" s="1">
        <f>182</f>
        <v>182</v>
      </c>
      <c r="B183" s="1">
        <f>73</f>
        <v>73</v>
      </c>
      <c r="C183" s="1" t="str">
        <f>"暗算"</f>
        <v>暗算</v>
      </c>
      <c r="D183" s="1" t="str">
        <f>IF(教室申込!G73="","",IFERROR(VALUE(教室申込!G73),""))</f>
        <v/>
      </c>
      <c r="E183" s="1" t="str">
        <f>IF(D183="","",COUNT($D$2:D183))</f>
        <v/>
      </c>
      <c r="F183" s="1" t="str">
        <f>IF(COUNTA(教室申込!$C$4)=0,"",教室申込!$C$4)</f>
        <v/>
      </c>
      <c r="G183" s="1" t="str">
        <f>IF(教室申込!D73="","",IFERROR(DATE(VALUE(LEFT(教室申込!D73,4)),VALUE(MID(教室申込!D73,6,FIND("/",教室申込!D73,6)-6)),VALUE(MID(教室申込!D73,FIND("/",教室申込!D73,6)+1,2))),""))</f>
        <v/>
      </c>
      <c r="H183" s="1"/>
      <c r="I183" s="1"/>
      <c r="J183" s="1"/>
      <c r="K183" s="1"/>
      <c r="L183" s="1"/>
    </row>
    <row r="184" spans="1:12">
      <c r="A184" s="1">
        <f>183</f>
        <v>183</v>
      </c>
      <c r="B184" s="1">
        <f>73</f>
        <v>73</v>
      </c>
      <c r="C184" s="1" t="str">
        <f>"段位認定"</f>
        <v>段位認定</v>
      </c>
      <c r="D184" s="1" t="str">
        <f>IF(教室申込!H73="","",IFERROR(MATCH(教室申込!H73,料金表!$G$6:$G$8,0),""))</f>
        <v/>
      </c>
      <c r="E184" s="1" t="str">
        <f>IF(D184="","",COUNT($D$2:D184))</f>
        <v/>
      </c>
      <c r="F184" s="1" t="str">
        <f>IF(COUNTA(教室申込!$C$4)=0,"",教室申込!$C$4)</f>
        <v/>
      </c>
      <c r="G184" s="1" t="str">
        <f>IF(教室申込!D73="","",IFERROR(DATE(VALUE(LEFT(教室申込!D73,4)),VALUE(MID(教室申込!D73,6,FIND("/",教室申込!D73,6)-6)),VALUE(MID(教室申込!D73,FIND("/",教室申込!D73,6)+1,2))),""))</f>
        <v/>
      </c>
      <c r="H184" s="1"/>
      <c r="I184" s="1"/>
      <c r="J184" s="1"/>
      <c r="K184" s="1"/>
      <c r="L184" s="1"/>
    </row>
    <row r="185" spans="1:12">
      <c r="A185" s="1">
        <f>184</f>
        <v>184</v>
      </c>
      <c r="B185" s="1">
        <f>74</f>
        <v>74</v>
      </c>
      <c r="C185" s="1" t="str">
        <f>"珠算"</f>
        <v>珠算</v>
      </c>
      <c r="D185" s="1" t="str">
        <f>IF(教室申込!F74="","",IFERROR(VALUE(教室申込!F74),""))</f>
        <v/>
      </c>
      <c r="E185" s="1" t="str">
        <f>IF(D185="","",COUNT($D$2:D185))</f>
        <v/>
      </c>
      <c r="F185" s="1" t="str">
        <f>IF(COUNTA(教室申込!$C$4)=0,"",教室申込!$C$4)</f>
        <v/>
      </c>
      <c r="G185" s="1" t="str">
        <f>IF(教室申込!D74="","",IFERROR(DATE(VALUE(LEFT(教室申込!D74,4)),VALUE(MID(教室申込!D74,6,FIND("/",教室申込!D74,6)-6)),VALUE(MID(教室申込!D74,FIND("/",教室申込!D74,6)+1,2))),""))</f>
        <v/>
      </c>
      <c r="H185" s="1"/>
      <c r="I185" s="1"/>
      <c r="J185" s="1"/>
      <c r="K185" s="1"/>
      <c r="L185" s="1"/>
    </row>
    <row r="186" spans="1:12">
      <c r="A186" s="1">
        <f>185</f>
        <v>185</v>
      </c>
      <c r="B186" s="1">
        <f>74</f>
        <v>74</v>
      </c>
      <c r="C186" s="1" t="str">
        <f>"暗算"</f>
        <v>暗算</v>
      </c>
      <c r="D186" s="1" t="str">
        <f>IF(教室申込!G74="","",IFERROR(VALUE(教室申込!G74),""))</f>
        <v/>
      </c>
      <c r="E186" s="1" t="str">
        <f>IF(D186="","",COUNT($D$2:D186))</f>
        <v/>
      </c>
      <c r="F186" s="1" t="str">
        <f>IF(COUNTA(教室申込!$C$4)=0,"",教室申込!$C$4)</f>
        <v/>
      </c>
      <c r="G186" s="1" t="str">
        <f>IF(教室申込!D74="","",IFERROR(DATE(VALUE(LEFT(教室申込!D74,4)),VALUE(MID(教室申込!D74,6,FIND("/",教室申込!D74,6)-6)),VALUE(MID(教室申込!D74,FIND("/",教室申込!D74,6)+1,2))),""))</f>
        <v/>
      </c>
      <c r="H186" s="1"/>
      <c r="I186" s="1"/>
      <c r="J186" s="1"/>
      <c r="K186" s="1"/>
      <c r="L186" s="1"/>
    </row>
    <row r="187" spans="1:12">
      <c r="A187" s="1">
        <f>186</f>
        <v>186</v>
      </c>
      <c r="B187" s="1">
        <f>74</f>
        <v>74</v>
      </c>
      <c r="C187" s="1" t="str">
        <f>"段位認定"</f>
        <v>段位認定</v>
      </c>
      <c r="D187" s="1" t="str">
        <f>IF(教室申込!H74="","",IFERROR(MATCH(教室申込!H74,料金表!$G$6:$G$8,0),""))</f>
        <v/>
      </c>
      <c r="E187" s="1" t="str">
        <f>IF(D187="","",COUNT($D$2:D187))</f>
        <v/>
      </c>
      <c r="F187" s="1" t="str">
        <f>IF(COUNTA(教室申込!$C$4)=0,"",教室申込!$C$4)</f>
        <v/>
      </c>
      <c r="G187" s="1" t="str">
        <f>IF(教室申込!D74="","",IFERROR(DATE(VALUE(LEFT(教室申込!D74,4)),VALUE(MID(教室申込!D74,6,FIND("/",教室申込!D74,6)-6)),VALUE(MID(教室申込!D74,FIND("/",教室申込!D74,6)+1,2))),""))</f>
        <v/>
      </c>
      <c r="H187" s="1"/>
      <c r="I187" s="1"/>
      <c r="J187" s="1"/>
      <c r="K187" s="1"/>
      <c r="L187" s="1"/>
    </row>
    <row r="188" spans="1:12">
      <c r="A188" s="1">
        <f>187</f>
        <v>187</v>
      </c>
      <c r="B188" s="1">
        <f>75</f>
        <v>75</v>
      </c>
      <c r="C188" s="1" t="str">
        <f>"珠算"</f>
        <v>珠算</v>
      </c>
      <c r="D188" s="1" t="str">
        <f>IF(教室申込!F75="","",IFERROR(VALUE(教室申込!F75),""))</f>
        <v/>
      </c>
      <c r="E188" s="1" t="str">
        <f>IF(D188="","",COUNT($D$2:D188))</f>
        <v/>
      </c>
      <c r="F188" s="1" t="str">
        <f>IF(COUNTA(教室申込!$C$4)=0,"",教室申込!$C$4)</f>
        <v/>
      </c>
      <c r="G188" s="1" t="str">
        <f>IF(教室申込!D75="","",IFERROR(DATE(VALUE(LEFT(教室申込!D75,4)),VALUE(MID(教室申込!D75,6,FIND("/",教室申込!D75,6)-6)),VALUE(MID(教室申込!D75,FIND("/",教室申込!D75,6)+1,2))),""))</f>
        <v/>
      </c>
      <c r="H188" s="1"/>
      <c r="I188" s="1"/>
      <c r="J188" s="1"/>
      <c r="K188" s="1"/>
      <c r="L188" s="1"/>
    </row>
    <row r="189" spans="1:12">
      <c r="A189" s="1">
        <f>188</f>
        <v>188</v>
      </c>
      <c r="B189" s="1">
        <f>75</f>
        <v>75</v>
      </c>
      <c r="C189" s="1" t="str">
        <f>"暗算"</f>
        <v>暗算</v>
      </c>
      <c r="D189" s="1" t="str">
        <f>IF(教室申込!G75="","",IFERROR(VALUE(教室申込!G75),""))</f>
        <v/>
      </c>
      <c r="E189" s="1" t="str">
        <f>IF(D189="","",COUNT($D$2:D189))</f>
        <v/>
      </c>
      <c r="F189" s="1" t="str">
        <f>IF(COUNTA(教室申込!$C$4)=0,"",教室申込!$C$4)</f>
        <v/>
      </c>
      <c r="G189" s="1" t="str">
        <f>IF(教室申込!D75="","",IFERROR(DATE(VALUE(LEFT(教室申込!D75,4)),VALUE(MID(教室申込!D75,6,FIND("/",教室申込!D75,6)-6)),VALUE(MID(教室申込!D75,FIND("/",教室申込!D75,6)+1,2))),""))</f>
        <v/>
      </c>
      <c r="H189" s="1"/>
      <c r="I189" s="1"/>
      <c r="J189" s="1"/>
      <c r="K189" s="1"/>
      <c r="L189" s="1"/>
    </row>
    <row r="190" spans="1:12">
      <c r="A190" s="1">
        <f>189</f>
        <v>189</v>
      </c>
      <c r="B190" s="1">
        <f>75</f>
        <v>75</v>
      </c>
      <c r="C190" s="1" t="str">
        <f>"段位認定"</f>
        <v>段位認定</v>
      </c>
      <c r="D190" s="1" t="str">
        <f>IF(教室申込!H75="","",IFERROR(MATCH(教室申込!H75,料金表!$G$6:$G$8,0),""))</f>
        <v/>
      </c>
      <c r="E190" s="1" t="str">
        <f>IF(D190="","",COUNT($D$2:D190))</f>
        <v/>
      </c>
      <c r="F190" s="1" t="str">
        <f>IF(COUNTA(教室申込!$C$4)=0,"",教室申込!$C$4)</f>
        <v/>
      </c>
      <c r="G190" s="1" t="str">
        <f>IF(教室申込!D75="","",IFERROR(DATE(VALUE(LEFT(教室申込!D75,4)),VALUE(MID(教室申込!D75,6,FIND("/",教室申込!D75,6)-6)),VALUE(MID(教室申込!D75,FIND("/",教室申込!D75,6)+1,2))),""))</f>
        <v/>
      </c>
      <c r="H190" s="1"/>
      <c r="I190" s="1"/>
      <c r="J190" s="1"/>
      <c r="K190" s="1"/>
      <c r="L190" s="1"/>
    </row>
    <row r="191" spans="1:12">
      <c r="A191" s="1">
        <f>190</f>
        <v>190</v>
      </c>
      <c r="B191" s="1">
        <f>76</f>
        <v>76</v>
      </c>
      <c r="C191" s="1" t="str">
        <f>"珠算"</f>
        <v>珠算</v>
      </c>
      <c r="D191" s="1" t="str">
        <f>IF(教室申込!F76="","",IFERROR(VALUE(教室申込!F76),""))</f>
        <v/>
      </c>
      <c r="E191" s="1" t="str">
        <f>IF(D191="","",COUNT($D$2:D191))</f>
        <v/>
      </c>
      <c r="F191" s="1" t="str">
        <f>IF(COUNTA(教室申込!$C$4)=0,"",教室申込!$C$4)</f>
        <v/>
      </c>
      <c r="G191" s="1" t="str">
        <f>IF(教室申込!D76="","",IFERROR(DATE(VALUE(LEFT(教室申込!D76,4)),VALUE(MID(教室申込!D76,6,FIND("/",教室申込!D76,6)-6)),VALUE(MID(教室申込!D76,FIND("/",教室申込!D76,6)+1,2))),""))</f>
        <v/>
      </c>
      <c r="H191" s="1"/>
      <c r="I191" s="1"/>
      <c r="J191" s="1"/>
      <c r="K191" s="1"/>
      <c r="L191" s="1"/>
    </row>
    <row r="192" spans="1:12">
      <c r="A192" s="1">
        <f>191</f>
        <v>191</v>
      </c>
      <c r="B192" s="1">
        <f>76</f>
        <v>76</v>
      </c>
      <c r="C192" s="1" t="str">
        <f>"暗算"</f>
        <v>暗算</v>
      </c>
      <c r="D192" s="1" t="str">
        <f>IF(教室申込!G76="","",IFERROR(VALUE(教室申込!G76),""))</f>
        <v/>
      </c>
      <c r="E192" s="1" t="str">
        <f>IF(D192="","",COUNT($D$2:D192))</f>
        <v/>
      </c>
      <c r="F192" s="1" t="str">
        <f>IF(COUNTA(教室申込!$C$4)=0,"",教室申込!$C$4)</f>
        <v/>
      </c>
      <c r="G192" s="1" t="str">
        <f>IF(教室申込!D76="","",IFERROR(DATE(VALUE(LEFT(教室申込!D76,4)),VALUE(MID(教室申込!D76,6,FIND("/",教室申込!D76,6)-6)),VALUE(MID(教室申込!D76,FIND("/",教室申込!D76,6)+1,2))),""))</f>
        <v/>
      </c>
      <c r="H192" s="1"/>
      <c r="I192" s="1"/>
      <c r="J192" s="1"/>
      <c r="K192" s="1"/>
      <c r="L192" s="1"/>
    </row>
    <row r="193" spans="1:12">
      <c r="A193" s="1">
        <f>192</f>
        <v>192</v>
      </c>
      <c r="B193" s="1">
        <f>76</f>
        <v>76</v>
      </c>
      <c r="C193" s="1" t="str">
        <f>"段位認定"</f>
        <v>段位認定</v>
      </c>
      <c r="D193" s="1" t="str">
        <f>IF(教室申込!H76="","",IFERROR(MATCH(教室申込!H76,料金表!$G$6:$G$8,0),""))</f>
        <v/>
      </c>
      <c r="E193" s="1" t="str">
        <f>IF(D193="","",COUNT($D$2:D193))</f>
        <v/>
      </c>
      <c r="F193" s="1" t="str">
        <f>IF(COUNTA(教室申込!$C$4)=0,"",教室申込!$C$4)</f>
        <v/>
      </c>
      <c r="G193" s="1" t="str">
        <f>IF(教室申込!D76="","",IFERROR(DATE(VALUE(LEFT(教室申込!D76,4)),VALUE(MID(教室申込!D76,6,FIND("/",教室申込!D76,6)-6)),VALUE(MID(教室申込!D76,FIND("/",教室申込!D76,6)+1,2))),""))</f>
        <v/>
      </c>
      <c r="H193" s="1"/>
      <c r="I193" s="1"/>
      <c r="J193" s="1"/>
      <c r="K193" s="1"/>
      <c r="L193" s="1"/>
    </row>
    <row r="194" spans="1:12">
      <c r="A194" s="1">
        <f>193</f>
        <v>193</v>
      </c>
      <c r="B194" s="1">
        <f>77</f>
        <v>77</v>
      </c>
      <c r="C194" s="1" t="str">
        <f>"珠算"</f>
        <v>珠算</v>
      </c>
      <c r="D194" s="1" t="str">
        <f>IF(教室申込!F77="","",IFERROR(VALUE(教室申込!F77),""))</f>
        <v/>
      </c>
      <c r="E194" s="1" t="str">
        <f>IF(D194="","",COUNT($D$2:D194))</f>
        <v/>
      </c>
      <c r="F194" s="1" t="str">
        <f>IF(COUNTA(教室申込!$C$4)=0,"",教室申込!$C$4)</f>
        <v/>
      </c>
      <c r="G194" s="1" t="str">
        <f>IF(教室申込!D77="","",IFERROR(DATE(VALUE(LEFT(教室申込!D77,4)),VALUE(MID(教室申込!D77,6,FIND("/",教室申込!D77,6)-6)),VALUE(MID(教室申込!D77,FIND("/",教室申込!D77,6)+1,2))),""))</f>
        <v/>
      </c>
      <c r="H194" s="1"/>
      <c r="I194" s="1"/>
      <c r="J194" s="1"/>
      <c r="K194" s="1"/>
      <c r="L194" s="1"/>
    </row>
    <row r="195" spans="1:12">
      <c r="A195" s="1">
        <f>194</f>
        <v>194</v>
      </c>
      <c r="B195" s="1">
        <f>77</f>
        <v>77</v>
      </c>
      <c r="C195" s="1" t="str">
        <f>"暗算"</f>
        <v>暗算</v>
      </c>
      <c r="D195" s="1" t="str">
        <f>IF(教室申込!G77="","",IFERROR(VALUE(教室申込!G77),""))</f>
        <v/>
      </c>
      <c r="E195" s="1" t="str">
        <f>IF(D195="","",COUNT($D$2:D195))</f>
        <v/>
      </c>
      <c r="F195" s="1" t="str">
        <f>IF(COUNTA(教室申込!$C$4)=0,"",教室申込!$C$4)</f>
        <v/>
      </c>
      <c r="G195" s="1" t="str">
        <f>IF(教室申込!D77="","",IFERROR(DATE(VALUE(LEFT(教室申込!D77,4)),VALUE(MID(教室申込!D77,6,FIND("/",教室申込!D77,6)-6)),VALUE(MID(教室申込!D77,FIND("/",教室申込!D77,6)+1,2))),""))</f>
        <v/>
      </c>
      <c r="H195" s="1"/>
      <c r="I195" s="1"/>
      <c r="J195" s="1"/>
      <c r="K195" s="1"/>
      <c r="L195" s="1"/>
    </row>
    <row r="196" spans="1:12">
      <c r="A196" s="1">
        <f>195</f>
        <v>195</v>
      </c>
      <c r="B196" s="1">
        <f>77</f>
        <v>77</v>
      </c>
      <c r="C196" s="1" t="str">
        <f>"段位認定"</f>
        <v>段位認定</v>
      </c>
      <c r="D196" s="1" t="str">
        <f>IF(教室申込!H77="","",IFERROR(MATCH(教室申込!H77,料金表!$G$6:$G$8,0),""))</f>
        <v/>
      </c>
      <c r="E196" s="1" t="str">
        <f>IF(D196="","",COUNT($D$2:D196))</f>
        <v/>
      </c>
      <c r="F196" s="1" t="str">
        <f>IF(COUNTA(教室申込!$C$4)=0,"",教室申込!$C$4)</f>
        <v/>
      </c>
      <c r="G196" s="1" t="str">
        <f>IF(教室申込!D77="","",IFERROR(DATE(VALUE(LEFT(教室申込!D77,4)),VALUE(MID(教室申込!D77,6,FIND("/",教室申込!D77,6)-6)),VALUE(MID(教室申込!D77,FIND("/",教室申込!D77,6)+1,2))),""))</f>
        <v/>
      </c>
      <c r="H196" s="1"/>
      <c r="I196" s="1"/>
      <c r="J196" s="1"/>
      <c r="K196" s="1"/>
      <c r="L196" s="1"/>
    </row>
    <row r="197" spans="1:12">
      <c r="A197" s="1">
        <f>196</f>
        <v>196</v>
      </c>
      <c r="B197" s="1">
        <f>78</f>
        <v>78</v>
      </c>
      <c r="C197" s="1" t="str">
        <f>"珠算"</f>
        <v>珠算</v>
      </c>
      <c r="D197" s="1" t="str">
        <f>IF(教室申込!F78="","",IFERROR(VALUE(教室申込!F78),""))</f>
        <v/>
      </c>
      <c r="E197" s="1" t="str">
        <f>IF(D197="","",COUNT($D$2:D197))</f>
        <v/>
      </c>
      <c r="F197" s="1" t="str">
        <f>IF(COUNTA(教室申込!$C$4)=0,"",教室申込!$C$4)</f>
        <v/>
      </c>
      <c r="G197" s="1" t="str">
        <f>IF(教室申込!D78="","",IFERROR(DATE(VALUE(LEFT(教室申込!D78,4)),VALUE(MID(教室申込!D78,6,FIND("/",教室申込!D78,6)-6)),VALUE(MID(教室申込!D78,FIND("/",教室申込!D78,6)+1,2))),""))</f>
        <v/>
      </c>
      <c r="H197" s="1"/>
      <c r="I197" s="1"/>
      <c r="J197" s="1"/>
      <c r="K197" s="1"/>
      <c r="L197" s="1"/>
    </row>
    <row r="198" spans="1:12">
      <c r="A198" s="1">
        <f>197</f>
        <v>197</v>
      </c>
      <c r="B198" s="1">
        <f>78</f>
        <v>78</v>
      </c>
      <c r="C198" s="1" t="str">
        <f>"暗算"</f>
        <v>暗算</v>
      </c>
      <c r="D198" s="1" t="str">
        <f>IF(教室申込!G78="","",IFERROR(VALUE(教室申込!G78),""))</f>
        <v/>
      </c>
      <c r="E198" s="1" t="str">
        <f>IF(D198="","",COUNT($D$2:D198))</f>
        <v/>
      </c>
      <c r="F198" s="1" t="str">
        <f>IF(COUNTA(教室申込!$C$4)=0,"",教室申込!$C$4)</f>
        <v/>
      </c>
      <c r="G198" s="1" t="str">
        <f>IF(教室申込!D78="","",IFERROR(DATE(VALUE(LEFT(教室申込!D78,4)),VALUE(MID(教室申込!D78,6,FIND("/",教室申込!D78,6)-6)),VALUE(MID(教室申込!D78,FIND("/",教室申込!D78,6)+1,2))),""))</f>
        <v/>
      </c>
      <c r="H198" s="1"/>
      <c r="I198" s="1"/>
      <c r="J198" s="1"/>
      <c r="K198" s="1"/>
      <c r="L198" s="1"/>
    </row>
    <row r="199" spans="1:12">
      <c r="A199" s="1">
        <f>198</f>
        <v>198</v>
      </c>
      <c r="B199" s="1">
        <f>78</f>
        <v>78</v>
      </c>
      <c r="C199" s="1" t="str">
        <f>"段位認定"</f>
        <v>段位認定</v>
      </c>
      <c r="D199" s="1" t="str">
        <f>IF(教室申込!H78="","",IFERROR(MATCH(教室申込!H78,料金表!$G$6:$G$8,0),""))</f>
        <v/>
      </c>
      <c r="E199" s="1" t="str">
        <f>IF(D199="","",COUNT($D$2:D199))</f>
        <v/>
      </c>
      <c r="F199" s="1" t="str">
        <f>IF(COUNTA(教室申込!$C$4)=0,"",教室申込!$C$4)</f>
        <v/>
      </c>
      <c r="G199" s="1" t="str">
        <f>IF(教室申込!D78="","",IFERROR(DATE(VALUE(LEFT(教室申込!D78,4)),VALUE(MID(教室申込!D78,6,FIND("/",教室申込!D78,6)-6)),VALUE(MID(教室申込!D78,FIND("/",教室申込!D78,6)+1,2))),""))</f>
        <v/>
      </c>
      <c r="H199" s="1"/>
      <c r="I199" s="1"/>
      <c r="J199" s="1"/>
      <c r="K199" s="1"/>
      <c r="L199" s="1"/>
    </row>
    <row r="200" spans="1:12">
      <c r="A200" s="1">
        <f>199</f>
        <v>199</v>
      </c>
      <c r="B200" s="1">
        <f>79</f>
        <v>79</v>
      </c>
      <c r="C200" s="1" t="str">
        <f>"珠算"</f>
        <v>珠算</v>
      </c>
      <c r="D200" s="1" t="str">
        <f>IF(教室申込!F79="","",IFERROR(VALUE(教室申込!F79),""))</f>
        <v/>
      </c>
      <c r="E200" s="1" t="str">
        <f>IF(D200="","",COUNT($D$2:D200))</f>
        <v/>
      </c>
      <c r="F200" s="1" t="str">
        <f>IF(COUNTA(教室申込!$C$4)=0,"",教室申込!$C$4)</f>
        <v/>
      </c>
      <c r="G200" s="1" t="str">
        <f>IF(教室申込!D79="","",IFERROR(DATE(VALUE(LEFT(教室申込!D79,4)),VALUE(MID(教室申込!D79,6,FIND("/",教室申込!D79,6)-6)),VALUE(MID(教室申込!D79,FIND("/",教室申込!D79,6)+1,2))),""))</f>
        <v/>
      </c>
      <c r="H200" s="1"/>
      <c r="I200" s="1"/>
      <c r="J200" s="1"/>
      <c r="K200" s="1"/>
      <c r="L200" s="1"/>
    </row>
    <row r="201" spans="1:12">
      <c r="A201" s="1">
        <f>200</f>
        <v>200</v>
      </c>
      <c r="B201" s="1">
        <f>79</f>
        <v>79</v>
      </c>
      <c r="C201" s="1" t="str">
        <f>"暗算"</f>
        <v>暗算</v>
      </c>
      <c r="D201" s="1" t="str">
        <f>IF(教室申込!G79="","",IFERROR(VALUE(教室申込!G79),""))</f>
        <v/>
      </c>
      <c r="E201" s="1" t="str">
        <f>IF(D201="","",COUNT($D$2:D201))</f>
        <v/>
      </c>
      <c r="F201" s="1" t="str">
        <f>IF(COUNTA(教室申込!$C$4)=0,"",教室申込!$C$4)</f>
        <v/>
      </c>
      <c r="G201" s="1" t="str">
        <f>IF(教室申込!D79="","",IFERROR(DATE(VALUE(LEFT(教室申込!D79,4)),VALUE(MID(教室申込!D79,6,FIND("/",教室申込!D79,6)-6)),VALUE(MID(教室申込!D79,FIND("/",教室申込!D79,6)+1,2))),""))</f>
        <v/>
      </c>
      <c r="H201" s="1"/>
      <c r="I201" s="1"/>
      <c r="J201" s="1"/>
      <c r="K201" s="1"/>
      <c r="L201" s="1"/>
    </row>
    <row r="202" spans="1:12">
      <c r="A202" s="1">
        <f>201</f>
        <v>201</v>
      </c>
      <c r="B202" s="1">
        <f>79</f>
        <v>79</v>
      </c>
      <c r="C202" s="1" t="str">
        <f>"段位認定"</f>
        <v>段位認定</v>
      </c>
      <c r="D202" s="1" t="str">
        <f>IF(教室申込!H79="","",IFERROR(MATCH(教室申込!H79,料金表!$G$6:$G$8,0),""))</f>
        <v/>
      </c>
      <c r="E202" s="1" t="str">
        <f>IF(D202="","",COUNT($D$2:D202))</f>
        <v/>
      </c>
      <c r="F202" s="1" t="str">
        <f>IF(COUNTA(教室申込!$C$4)=0,"",教室申込!$C$4)</f>
        <v/>
      </c>
      <c r="G202" s="1" t="str">
        <f>IF(教室申込!D79="","",IFERROR(DATE(VALUE(LEFT(教室申込!D79,4)),VALUE(MID(教室申込!D79,6,FIND("/",教室申込!D79,6)-6)),VALUE(MID(教室申込!D79,FIND("/",教室申込!D79,6)+1,2))),""))</f>
        <v/>
      </c>
      <c r="H202" s="1"/>
      <c r="I202" s="1"/>
      <c r="J202" s="1"/>
      <c r="K202" s="1"/>
      <c r="L202" s="1"/>
    </row>
    <row r="203" spans="1:12">
      <c r="A203" s="1">
        <f>202</f>
        <v>202</v>
      </c>
      <c r="B203" s="1">
        <f>80</f>
        <v>80</v>
      </c>
      <c r="C203" s="1" t="str">
        <f>"珠算"</f>
        <v>珠算</v>
      </c>
      <c r="D203" s="1" t="str">
        <f>IF(教室申込!F80="","",IFERROR(VALUE(教室申込!F80),""))</f>
        <v/>
      </c>
      <c r="E203" s="1" t="str">
        <f>IF(D203="","",COUNT($D$2:D203))</f>
        <v/>
      </c>
      <c r="F203" s="1" t="str">
        <f>IF(COUNTA(教室申込!$C$4)=0,"",教室申込!$C$4)</f>
        <v/>
      </c>
      <c r="G203" s="1" t="str">
        <f>IF(教室申込!D80="","",IFERROR(DATE(VALUE(LEFT(教室申込!D80,4)),VALUE(MID(教室申込!D80,6,FIND("/",教室申込!D80,6)-6)),VALUE(MID(教室申込!D80,FIND("/",教室申込!D80,6)+1,2))),""))</f>
        <v/>
      </c>
      <c r="H203" s="1"/>
      <c r="I203" s="1"/>
      <c r="J203" s="1"/>
      <c r="K203" s="1"/>
      <c r="L203" s="1"/>
    </row>
    <row r="204" spans="1:12">
      <c r="A204" s="1">
        <f>203</f>
        <v>203</v>
      </c>
      <c r="B204" s="1">
        <f>80</f>
        <v>80</v>
      </c>
      <c r="C204" s="1" t="str">
        <f>"暗算"</f>
        <v>暗算</v>
      </c>
      <c r="D204" s="1" t="str">
        <f>IF(教室申込!G80="","",IFERROR(VALUE(教室申込!G80),""))</f>
        <v/>
      </c>
      <c r="E204" s="1" t="str">
        <f>IF(D204="","",COUNT($D$2:D204))</f>
        <v/>
      </c>
      <c r="F204" s="1" t="str">
        <f>IF(COUNTA(教室申込!$C$4)=0,"",教室申込!$C$4)</f>
        <v/>
      </c>
      <c r="G204" s="1" t="str">
        <f>IF(教室申込!D80="","",IFERROR(DATE(VALUE(LEFT(教室申込!D80,4)),VALUE(MID(教室申込!D80,6,FIND("/",教室申込!D80,6)-6)),VALUE(MID(教室申込!D80,FIND("/",教室申込!D80,6)+1,2))),""))</f>
        <v/>
      </c>
      <c r="H204" s="1"/>
      <c r="I204" s="1"/>
      <c r="J204" s="1"/>
      <c r="K204" s="1"/>
      <c r="L204" s="1"/>
    </row>
    <row r="205" spans="1:12">
      <c r="A205" s="1">
        <f>204</f>
        <v>204</v>
      </c>
      <c r="B205" s="1">
        <f>80</f>
        <v>80</v>
      </c>
      <c r="C205" s="1" t="str">
        <f>"段位認定"</f>
        <v>段位認定</v>
      </c>
      <c r="D205" s="1" t="str">
        <f>IF(教室申込!H80="","",IFERROR(MATCH(教室申込!H80,料金表!$G$6:$G$8,0),""))</f>
        <v/>
      </c>
      <c r="E205" s="1" t="str">
        <f>IF(D205="","",COUNT($D$2:D205))</f>
        <v/>
      </c>
      <c r="F205" s="1" t="str">
        <f>IF(COUNTA(教室申込!$C$4)=0,"",教室申込!$C$4)</f>
        <v/>
      </c>
      <c r="G205" s="1" t="str">
        <f>IF(教室申込!D80="","",IFERROR(DATE(VALUE(LEFT(教室申込!D80,4)),VALUE(MID(教室申込!D80,6,FIND("/",教室申込!D80,6)-6)),VALUE(MID(教室申込!D80,FIND("/",教室申込!D80,6)+1,2))),""))</f>
        <v/>
      </c>
      <c r="H205" s="1"/>
      <c r="I205" s="1"/>
      <c r="J205" s="1"/>
      <c r="K205" s="1"/>
      <c r="L205" s="1"/>
    </row>
    <row r="206" spans="1:12">
      <c r="A206" s="1">
        <f>205</f>
        <v>205</v>
      </c>
      <c r="B206" s="1">
        <f>81</f>
        <v>81</v>
      </c>
      <c r="C206" s="1" t="str">
        <f>"珠算"</f>
        <v>珠算</v>
      </c>
      <c r="D206" s="1" t="str">
        <f>IF(教室申込!F81="","",IFERROR(VALUE(教室申込!F81),""))</f>
        <v/>
      </c>
      <c r="E206" s="1" t="str">
        <f>IF(D206="","",COUNT($D$2:D206))</f>
        <v/>
      </c>
      <c r="F206" s="1" t="str">
        <f>IF(COUNTA(教室申込!$C$4)=0,"",教室申込!$C$4)</f>
        <v/>
      </c>
      <c r="G206" s="1" t="str">
        <f>IF(教室申込!D81="","",IFERROR(DATE(VALUE(LEFT(教室申込!D81,4)),VALUE(MID(教室申込!D81,6,FIND("/",教室申込!D81,6)-6)),VALUE(MID(教室申込!D81,FIND("/",教室申込!D81,6)+1,2))),""))</f>
        <v/>
      </c>
      <c r="H206" s="1"/>
      <c r="I206" s="1"/>
      <c r="J206" s="1"/>
      <c r="K206" s="1"/>
      <c r="L206" s="1"/>
    </row>
    <row r="207" spans="1:12">
      <c r="A207" s="1">
        <f>206</f>
        <v>206</v>
      </c>
      <c r="B207" s="1">
        <f>81</f>
        <v>81</v>
      </c>
      <c r="C207" s="1" t="str">
        <f>"暗算"</f>
        <v>暗算</v>
      </c>
      <c r="D207" s="1" t="str">
        <f>IF(教室申込!G81="","",IFERROR(VALUE(教室申込!G81),""))</f>
        <v/>
      </c>
      <c r="E207" s="1" t="str">
        <f>IF(D207="","",COUNT($D$2:D207))</f>
        <v/>
      </c>
      <c r="F207" s="1" t="str">
        <f>IF(COUNTA(教室申込!$C$4)=0,"",教室申込!$C$4)</f>
        <v/>
      </c>
      <c r="G207" s="1" t="str">
        <f>IF(教室申込!D81="","",IFERROR(DATE(VALUE(LEFT(教室申込!D81,4)),VALUE(MID(教室申込!D81,6,FIND("/",教室申込!D81,6)-6)),VALUE(MID(教室申込!D81,FIND("/",教室申込!D81,6)+1,2))),""))</f>
        <v/>
      </c>
      <c r="H207" s="1"/>
      <c r="I207" s="1"/>
      <c r="J207" s="1"/>
      <c r="K207" s="1"/>
      <c r="L207" s="1"/>
    </row>
    <row r="208" spans="1:12">
      <c r="A208" s="1">
        <f>207</f>
        <v>207</v>
      </c>
      <c r="B208" s="1">
        <f>81</f>
        <v>81</v>
      </c>
      <c r="C208" s="1" t="str">
        <f>"段位認定"</f>
        <v>段位認定</v>
      </c>
      <c r="D208" s="1" t="str">
        <f>IF(教室申込!H81="","",IFERROR(MATCH(教室申込!H81,料金表!$G$6:$G$8,0),""))</f>
        <v/>
      </c>
      <c r="E208" s="1" t="str">
        <f>IF(D208="","",COUNT($D$2:D208))</f>
        <v/>
      </c>
      <c r="F208" s="1" t="str">
        <f>IF(COUNTA(教室申込!$C$4)=0,"",教室申込!$C$4)</f>
        <v/>
      </c>
      <c r="G208" s="1" t="str">
        <f>IF(教室申込!D81="","",IFERROR(DATE(VALUE(LEFT(教室申込!D81,4)),VALUE(MID(教室申込!D81,6,FIND("/",教室申込!D81,6)-6)),VALUE(MID(教室申込!D81,FIND("/",教室申込!D81,6)+1,2))),""))</f>
        <v/>
      </c>
      <c r="H208" s="1"/>
      <c r="I208" s="1"/>
      <c r="J208" s="1"/>
      <c r="K208" s="1"/>
      <c r="L208" s="1"/>
    </row>
    <row r="209" spans="1:12">
      <c r="A209" s="1">
        <f>208</f>
        <v>208</v>
      </c>
      <c r="B209" s="1">
        <f>82</f>
        <v>82</v>
      </c>
      <c r="C209" s="1" t="str">
        <f>"珠算"</f>
        <v>珠算</v>
      </c>
      <c r="D209" s="1" t="str">
        <f>IF(教室申込!F82="","",IFERROR(VALUE(教室申込!F82),""))</f>
        <v/>
      </c>
      <c r="E209" s="1" t="str">
        <f>IF(D209="","",COUNT($D$2:D209))</f>
        <v/>
      </c>
      <c r="F209" s="1" t="str">
        <f>IF(COUNTA(教室申込!$C$4)=0,"",教室申込!$C$4)</f>
        <v/>
      </c>
      <c r="G209" s="1" t="str">
        <f>IF(教室申込!D82="","",IFERROR(DATE(VALUE(LEFT(教室申込!D82,4)),VALUE(MID(教室申込!D82,6,FIND("/",教室申込!D82,6)-6)),VALUE(MID(教室申込!D82,FIND("/",教室申込!D82,6)+1,2))),""))</f>
        <v/>
      </c>
      <c r="H209" s="1"/>
      <c r="I209" s="1"/>
      <c r="J209" s="1"/>
      <c r="K209" s="1"/>
      <c r="L209" s="1"/>
    </row>
    <row r="210" spans="1:12">
      <c r="A210" s="1">
        <f>209</f>
        <v>209</v>
      </c>
      <c r="B210" s="1">
        <f>82</f>
        <v>82</v>
      </c>
      <c r="C210" s="1" t="str">
        <f>"暗算"</f>
        <v>暗算</v>
      </c>
      <c r="D210" s="1" t="str">
        <f>IF(教室申込!G82="","",IFERROR(VALUE(教室申込!G82),""))</f>
        <v/>
      </c>
      <c r="E210" s="1" t="str">
        <f>IF(D210="","",COUNT($D$2:D210))</f>
        <v/>
      </c>
      <c r="F210" s="1" t="str">
        <f>IF(COUNTA(教室申込!$C$4)=0,"",教室申込!$C$4)</f>
        <v/>
      </c>
      <c r="G210" s="1" t="str">
        <f>IF(教室申込!D82="","",IFERROR(DATE(VALUE(LEFT(教室申込!D82,4)),VALUE(MID(教室申込!D82,6,FIND("/",教室申込!D82,6)-6)),VALUE(MID(教室申込!D82,FIND("/",教室申込!D82,6)+1,2))),""))</f>
        <v/>
      </c>
      <c r="H210" s="1"/>
      <c r="I210" s="1"/>
      <c r="J210" s="1"/>
      <c r="K210" s="1"/>
      <c r="L210" s="1"/>
    </row>
    <row r="211" spans="1:12">
      <c r="A211" s="1">
        <f>210</f>
        <v>210</v>
      </c>
      <c r="B211" s="1">
        <f>82</f>
        <v>82</v>
      </c>
      <c r="C211" s="1" t="str">
        <f>"段位認定"</f>
        <v>段位認定</v>
      </c>
      <c r="D211" s="1" t="str">
        <f>IF(教室申込!H82="","",IFERROR(MATCH(教室申込!H82,料金表!$G$6:$G$8,0),""))</f>
        <v/>
      </c>
      <c r="E211" s="1" t="str">
        <f>IF(D211="","",COUNT($D$2:D211))</f>
        <v/>
      </c>
      <c r="F211" s="1" t="str">
        <f>IF(COUNTA(教室申込!$C$4)=0,"",教室申込!$C$4)</f>
        <v/>
      </c>
      <c r="G211" s="1" t="str">
        <f>IF(教室申込!D82="","",IFERROR(DATE(VALUE(LEFT(教室申込!D82,4)),VALUE(MID(教室申込!D82,6,FIND("/",教室申込!D82,6)-6)),VALUE(MID(教室申込!D82,FIND("/",教室申込!D82,6)+1,2))),""))</f>
        <v/>
      </c>
      <c r="H211" s="1"/>
      <c r="I211" s="1"/>
      <c r="J211" s="1"/>
      <c r="K211" s="1"/>
      <c r="L211" s="1"/>
    </row>
    <row r="212" spans="1:12">
      <c r="A212" s="1">
        <f>211</f>
        <v>211</v>
      </c>
      <c r="B212" s="1">
        <f>83</f>
        <v>83</v>
      </c>
      <c r="C212" s="1" t="str">
        <f>"珠算"</f>
        <v>珠算</v>
      </c>
      <c r="D212" s="1" t="str">
        <f>IF(教室申込!F83="","",IFERROR(VALUE(教室申込!F83),""))</f>
        <v/>
      </c>
      <c r="E212" s="1" t="str">
        <f>IF(D212="","",COUNT($D$2:D212))</f>
        <v/>
      </c>
      <c r="F212" s="1" t="str">
        <f>IF(COUNTA(教室申込!$C$4)=0,"",教室申込!$C$4)</f>
        <v/>
      </c>
      <c r="G212" s="1" t="str">
        <f>IF(教室申込!D83="","",IFERROR(DATE(VALUE(LEFT(教室申込!D83,4)),VALUE(MID(教室申込!D83,6,FIND("/",教室申込!D83,6)-6)),VALUE(MID(教室申込!D83,FIND("/",教室申込!D83,6)+1,2))),""))</f>
        <v/>
      </c>
      <c r="H212" s="1"/>
      <c r="I212" s="1"/>
      <c r="J212" s="1"/>
      <c r="K212" s="1"/>
      <c r="L212" s="1"/>
    </row>
    <row r="213" spans="1:12">
      <c r="A213" s="1">
        <f>212</f>
        <v>212</v>
      </c>
      <c r="B213" s="1">
        <f>83</f>
        <v>83</v>
      </c>
      <c r="C213" s="1" t="str">
        <f>"暗算"</f>
        <v>暗算</v>
      </c>
      <c r="D213" s="1" t="str">
        <f>IF(教室申込!G83="","",IFERROR(VALUE(教室申込!G83),""))</f>
        <v/>
      </c>
      <c r="E213" s="1" t="str">
        <f>IF(D213="","",COUNT($D$2:D213))</f>
        <v/>
      </c>
      <c r="F213" s="1" t="str">
        <f>IF(COUNTA(教室申込!$C$4)=0,"",教室申込!$C$4)</f>
        <v/>
      </c>
      <c r="G213" s="1" t="str">
        <f>IF(教室申込!D83="","",IFERROR(DATE(VALUE(LEFT(教室申込!D83,4)),VALUE(MID(教室申込!D83,6,FIND("/",教室申込!D83,6)-6)),VALUE(MID(教室申込!D83,FIND("/",教室申込!D83,6)+1,2))),""))</f>
        <v/>
      </c>
    </row>
    <row r="214" spans="1:12">
      <c r="A214" s="1">
        <f>213</f>
        <v>213</v>
      </c>
      <c r="B214" s="1">
        <f>83</f>
        <v>83</v>
      </c>
      <c r="C214" s="1" t="str">
        <f>"段位認定"</f>
        <v>段位認定</v>
      </c>
      <c r="D214" s="1" t="str">
        <f>IF(教室申込!H83="","",IFERROR(MATCH(教室申込!H83,料金表!$G$6:$G$8,0),""))</f>
        <v/>
      </c>
      <c r="E214" s="1" t="str">
        <f>IF(D214="","",COUNT($D$2:D214))</f>
        <v/>
      </c>
      <c r="F214" s="1" t="str">
        <f>IF(COUNTA(教室申込!$C$4)=0,"",教室申込!$C$4)</f>
        <v/>
      </c>
      <c r="G214" s="1" t="str">
        <f>IF(教室申込!D83="","",IFERROR(DATE(VALUE(LEFT(教室申込!D83,4)),VALUE(MID(教室申込!D83,6,FIND("/",教室申込!D83,6)-6)),VALUE(MID(教室申込!D83,FIND("/",教室申込!D83,6)+1,2))),""))</f>
        <v/>
      </c>
    </row>
    <row r="215" spans="1:12">
      <c r="A215" s="1">
        <f>214</f>
        <v>214</v>
      </c>
      <c r="B215" s="1">
        <f>84</f>
        <v>84</v>
      </c>
      <c r="C215" s="1" t="str">
        <f>"珠算"</f>
        <v>珠算</v>
      </c>
      <c r="D215" s="1" t="str">
        <f>IF(教室申込!F84="","",IFERROR(VALUE(教室申込!F84),""))</f>
        <v/>
      </c>
      <c r="E215" s="1" t="str">
        <f>IF(D215="","",COUNT($D$2:D215))</f>
        <v/>
      </c>
      <c r="F215" s="1" t="str">
        <f>IF(COUNTA(教室申込!$C$4)=0,"",教室申込!$C$4)</f>
        <v/>
      </c>
      <c r="G215" s="1" t="str">
        <f>IF(教室申込!D84="","",IFERROR(DATE(VALUE(LEFT(教室申込!D84,4)),VALUE(MID(教室申込!D84,6,FIND("/",教室申込!D84,6)-6)),VALUE(MID(教室申込!D84,FIND("/",教室申込!D84,6)+1,2))),""))</f>
        <v/>
      </c>
    </row>
    <row r="216" spans="1:12">
      <c r="A216" s="1">
        <f>215</f>
        <v>215</v>
      </c>
      <c r="B216" s="1">
        <f>84</f>
        <v>84</v>
      </c>
      <c r="C216" s="1" t="str">
        <f>"暗算"</f>
        <v>暗算</v>
      </c>
      <c r="D216" s="1" t="str">
        <f>IF(教室申込!G84="","",IFERROR(VALUE(教室申込!G84),""))</f>
        <v/>
      </c>
      <c r="E216" s="1" t="str">
        <f>IF(D216="","",COUNT($D$2:D216))</f>
        <v/>
      </c>
      <c r="F216" s="1" t="str">
        <f>IF(COUNTA(教室申込!$C$4)=0,"",教室申込!$C$4)</f>
        <v/>
      </c>
      <c r="G216" s="1" t="str">
        <f>IF(教室申込!D84="","",IFERROR(DATE(VALUE(LEFT(教室申込!D84,4)),VALUE(MID(教室申込!D84,6,FIND("/",教室申込!D84,6)-6)),VALUE(MID(教室申込!D84,FIND("/",教室申込!D84,6)+1,2))),""))</f>
        <v/>
      </c>
    </row>
    <row r="217" spans="1:12">
      <c r="A217" s="1">
        <f>216</f>
        <v>216</v>
      </c>
      <c r="B217" s="1">
        <f>84</f>
        <v>84</v>
      </c>
      <c r="C217" s="1" t="str">
        <f>"段位認定"</f>
        <v>段位認定</v>
      </c>
      <c r="D217" s="1" t="str">
        <f>IF(教室申込!H84="","",IFERROR(MATCH(教室申込!H84,料金表!$G$6:$G$8,0),""))</f>
        <v/>
      </c>
      <c r="E217" s="1" t="str">
        <f>IF(D217="","",COUNT($D$2:D217))</f>
        <v/>
      </c>
      <c r="F217" s="1" t="str">
        <f>IF(COUNTA(教室申込!$C$4)=0,"",教室申込!$C$4)</f>
        <v/>
      </c>
      <c r="G217" s="1" t="str">
        <f>IF(教室申込!D84="","",IFERROR(DATE(VALUE(LEFT(教室申込!D84,4)),VALUE(MID(教室申込!D84,6,FIND("/",教室申込!D84,6)-6)),VALUE(MID(教室申込!D84,FIND("/",教室申込!D84,6)+1,2))),""))</f>
        <v/>
      </c>
    </row>
    <row r="218" spans="1:12">
      <c r="A218" s="1">
        <f>217</f>
        <v>217</v>
      </c>
      <c r="B218" s="1">
        <f>85</f>
        <v>85</v>
      </c>
      <c r="C218" s="1" t="str">
        <f>"珠算"</f>
        <v>珠算</v>
      </c>
      <c r="D218" s="1" t="str">
        <f>IF(教室申込!F85="","",IFERROR(VALUE(教室申込!F85),""))</f>
        <v/>
      </c>
      <c r="E218" s="1" t="str">
        <f>IF(D218="","",COUNT($D$2:D218))</f>
        <v/>
      </c>
      <c r="F218" s="1" t="str">
        <f>IF(COUNTA(教室申込!$C$4)=0,"",教室申込!$C$4)</f>
        <v/>
      </c>
      <c r="G218" s="1" t="str">
        <f>IF(教室申込!D85="","",IFERROR(DATE(VALUE(LEFT(教室申込!D85,4)),VALUE(MID(教室申込!D85,6,FIND("/",教室申込!D85,6)-6)),VALUE(MID(教室申込!D85,FIND("/",教室申込!D85,6)+1,2))),""))</f>
        <v/>
      </c>
    </row>
    <row r="219" spans="1:12">
      <c r="A219" s="1">
        <f>218</f>
        <v>218</v>
      </c>
      <c r="B219" s="1">
        <f>85</f>
        <v>85</v>
      </c>
      <c r="C219" s="1" t="str">
        <f>"暗算"</f>
        <v>暗算</v>
      </c>
      <c r="D219" s="1" t="str">
        <f>IF(教室申込!G85="","",IFERROR(VALUE(教室申込!G85),""))</f>
        <v/>
      </c>
      <c r="E219" s="1" t="str">
        <f>IF(D219="","",COUNT($D$2:D219))</f>
        <v/>
      </c>
      <c r="F219" s="1" t="str">
        <f>IF(COUNTA(教室申込!$C$4)=0,"",教室申込!$C$4)</f>
        <v/>
      </c>
      <c r="G219" s="1" t="str">
        <f>IF(教室申込!D85="","",IFERROR(DATE(VALUE(LEFT(教室申込!D85,4)),VALUE(MID(教室申込!D85,6,FIND("/",教室申込!D85,6)-6)),VALUE(MID(教室申込!D85,FIND("/",教室申込!D85,6)+1,2))),""))</f>
        <v/>
      </c>
    </row>
    <row r="220" spans="1:12">
      <c r="A220" s="1">
        <f>219</f>
        <v>219</v>
      </c>
      <c r="B220" s="1">
        <f>85</f>
        <v>85</v>
      </c>
      <c r="C220" s="1" t="str">
        <f>"段位認定"</f>
        <v>段位認定</v>
      </c>
      <c r="D220" s="1" t="str">
        <f>IF(教室申込!H85="","",IFERROR(MATCH(教室申込!H85,料金表!$G$6:$G$8,0),""))</f>
        <v/>
      </c>
      <c r="E220" s="1" t="str">
        <f>IF(D220="","",COUNT($D$2:D220))</f>
        <v/>
      </c>
      <c r="F220" s="1" t="str">
        <f>IF(COUNTA(教室申込!$C$4)=0,"",教室申込!$C$4)</f>
        <v/>
      </c>
      <c r="G220" s="1" t="str">
        <f>IF(教室申込!D85="","",IFERROR(DATE(VALUE(LEFT(教室申込!D85,4)),VALUE(MID(教室申込!D85,6,FIND("/",教室申込!D85,6)-6)),VALUE(MID(教室申込!D85,FIND("/",教室申込!D85,6)+1,2))),""))</f>
        <v/>
      </c>
    </row>
    <row r="221" spans="1:12">
      <c r="A221" s="1">
        <f>220</f>
        <v>220</v>
      </c>
      <c r="B221" s="1">
        <f>86</f>
        <v>86</v>
      </c>
      <c r="C221" s="1" t="str">
        <f>"珠算"</f>
        <v>珠算</v>
      </c>
      <c r="D221" s="1" t="str">
        <f>IF(教室申込!F86="","",IFERROR(VALUE(教室申込!F86),""))</f>
        <v/>
      </c>
      <c r="E221" s="1" t="str">
        <f>IF(D221="","",COUNT($D$2:D221))</f>
        <v/>
      </c>
      <c r="F221" s="1" t="str">
        <f>IF(COUNTA(教室申込!$C$4)=0,"",教室申込!$C$4)</f>
        <v/>
      </c>
      <c r="G221" s="1" t="str">
        <f>IF(教室申込!D86="","",IFERROR(DATE(VALUE(LEFT(教室申込!D86,4)),VALUE(MID(教室申込!D86,6,FIND("/",教室申込!D86,6)-6)),VALUE(MID(教室申込!D86,FIND("/",教室申込!D86,6)+1,2))),""))</f>
        <v/>
      </c>
    </row>
    <row r="222" spans="1:12">
      <c r="A222" s="1">
        <f>221</f>
        <v>221</v>
      </c>
      <c r="B222" s="1">
        <f>86</f>
        <v>86</v>
      </c>
      <c r="C222" s="1" t="str">
        <f>"暗算"</f>
        <v>暗算</v>
      </c>
      <c r="D222" s="1" t="str">
        <f>IF(教室申込!G86="","",IFERROR(VALUE(教室申込!G86),""))</f>
        <v/>
      </c>
      <c r="E222" s="1" t="str">
        <f>IF(D222="","",COUNT($D$2:D222))</f>
        <v/>
      </c>
      <c r="F222" s="1" t="str">
        <f>IF(COUNTA(教室申込!$C$4)=0,"",教室申込!$C$4)</f>
        <v/>
      </c>
      <c r="G222" s="1" t="str">
        <f>IF(教室申込!D86="","",IFERROR(DATE(VALUE(LEFT(教室申込!D86,4)),VALUE(MID(教室申込!D86,6,FIND("/",教室申込!D86,6)-6)),VALUE(MID(教室申込!D86,FIND("/",教室申込!D86,6)+1,2))),""))</f>
        <v/>
      </c>
    </row>
    <row r="223" spans="1:12">
      <c r="A223" s="1">
        <f>222</f>
        <v>222</v>
      </c>
      <c r="B223" s="1">
        <f>86</f>
        <v>86</v>
      </c>
      <c r="C223" s="1" t="str">
        <f>"段位認定"</f>
        <v>段位認定</v>
      </c>
      <c r="D223" s="1" t="str">
        <f>IF(教室申込!H86="","",IFERROR(MATCH(教室申込!H86,料金表!$G$6:$G$8,0),""))</f>
        <v/>
      </c>
      <c r="E223" s="1" t="str">
        <f>IF(D223="","",COUNT($D$2:D223))</f>
        <v/>
      </c>
      <c r="F223" s="1" t="str">
        <f>IF(COUNTA(教室申込!$C$4)=0,"",教室申込!$C$4)</f>
        <v/>
      </c>
      <c r="G223" s="1" t="str">
        <f>IF(教室申込!D86="","",IFERROR(DATE(VALUE(LEFT(教室申込!D86,4)),VALUE(MID(教室申込!D86,6,FIND("/",教室申込!D86,6)-6)),VALUE(MID(教室申込!D86,FIND("/",教室申込!D86,6)+1,2))),""))</f>
        <v/>
      </c>
    </row>
    <row r="224" spans="1:12">
      <c r="A224" s="1">
        <f>223</f>
        <v>223</v>
      </c>
      <c r="B224" s="1">
        <f>87</f>
        <v>87</v>
      </c>
      <c r="C224" s="1" t="str">
        <f>"珠算"</f>
        <v>珠算</v>
      </c>
      <c r="D224" s="1" t="str">
        <f>IF(教室申込!F87="","",IFERROR(VALUE(教室申込!F87),""))</f>
        <v/>
      </c>
      <c r="E224" s="1" t="str">
        <f>IF(D224="","",COUNT($D$2:D224))</f>
        <v/>
      </c>
      <c r="F224" s="1" t="str">
        <f>IF(COUNTA(教室申込!$C$4)=0,"",教室申込!$C$4)</f>
        <v/>
      </c>
      <c r="G224" s="1" t="str">
        <f>IF(教室申込!D87="","",IFERROR(DATE(VALUE(LEFT(教室申込!D87,4)),VALUE(MID(教室申込!D87,6,FIND("/",教室申込!D87,6)-6)),VALUE(MID(教室申込!D87,FIND("/",教室申込!D87,6)+1,2))),""))</f>
        <v/>
      </c>
    </row>
    <row r="225" spans="1:7">
      <c r="A225" s="1">
        <f>224</f>
        <v>224</v>
      </c>
      <c r="B225" s="1">
        <f>87</f>
        <v>87</v>
      </c>
      <c r="C225" s="1" t="str">
        <f>"暗算"</f>
        <v>暗算</v>
      </c>
      <c r="D225" s="1" t="str">
        <f>IF(教室申込!G87="","",IFERROR(VALUE(教室申込!G87),""))</f>
        <v/>
      </c>
      <c r="E225" s="1" t="str">
        <f>IF(D225="","",COUNT($D$2:D225))</f>
        <v/>
      </c>
      <c r="F225" s="1" t="str">
        <f>IF(COUNTA(教室申込!$C$4)=0,"",教室申込!$C$4)</f>
        <v/>
      </c>
      <c r="G225" s="1" t="str">
        <f>IF(教室申込!D87="","",IFERROR(DATE(VALUE(LEFT(教室申込!D87,4)),VALUE(MID(教室申込!D87,6,FIND("/",教室申込!D87,6)-6)),VALUE(MID(教室申込!D87,FIND("/",教室申込!D87,6)+1,2))),""))</f>
        <v/>
      </c>
    </row>
    <row r="226" spans="1:7">
      <c r="A226" s="1">
        <f>225</f>
        <v>225</v>
      </c>
      <c r="B226" s="1">
        <f>87</f>
        <v>87</v>
      </c>
      <c r="C226" s="1" t="str">
        <f>"段位認定"</f>
        <v>段位認定</v>
      </c>
      <c r="D226" s="1" t="str">
        <f>IF(教室申込!H87="","",IFERROR(MATCH(教室申込!H87,料金表!$G$6:$G$8,0),""))</f>
        <v/>
      </c>
      <c r="E226" s="1" t="str">
        <f>IF(D226="","",COUNT($D$2:D226))</f>
        <v/>
      </c>
      <c r="F226" s="1" t="str">
        <f>IF(COUNTA(教室申込!$C$4)=0,"",教室申込!$C$4)</f>
        <v/>
      </c>
      <c r="G226" s="1" t="str">
        <f>IF(教室申込!D87="","",IFERROR(DATE(VALUE(LEFT(教室申込!D87,4)),VALUE(MID(教室申込!D87,6,FIND("/",教室申込!D87,6)-6)),VALUE(MID(教室申込!D87,FIND("/",教室申込!D87,6)+1,2))),""))</f>
        <v/>
      </c>
    </row>
    <row r="227" spans="1:7">
      <c r="A227" s="1">
        <f>226</f>
        <v>226</v>
      </c>
      <c r="B227" s="1">
        <f>88</f>
        <v>88</v>
      </c>
      <c r="C227" s="1" t="str">
        <f>"珠算"</f>
        <v>珠算</v>
      </c>
      <c r="D227" s="1" t="str">
        <f>IF(教室申込!F88="","",IFERROR(VALUE(教室申込!F88),""))</f>
        <v/>
      </c>
      <c r="E227" s="1" t="str">
        <f>IF(D227="","",COUNT($D$2:D227))</f>
        <v/>
      </c>
      <c r="F227" s="1" t="str">
        <f>IF(COUNTA(教室申込!$C$4)=0,"",教室申込!$C$4)</f>
        <v/>
      </c>
      <c r="G227" s="1" t="str">
        <f>IF(教室申込!D88="","",IFERROR(DATE(VALUE(LEFT(教室申込!D88,4)),VALUE(MID(教室申込!D88,6,FIND("/",教室申込!D88,6)-6)),VALUE(MID(教室申込!D88,FIND("/",教室申込!D88,6)+1,2))),""))</f>
        <v/>
      </c>
    </row>
    <row r="228" spans="1:7">
      <c r="A228" s="1">
        <f>227</f>
        <v>227</v>
      </c>
      <c r="B228" s="1">
        <f>88</f>
        <v>88</v>
      </c>
      <c r="C228" s="1" t="str">
        <f>"暗算"</f>
        <v>暗算</v>
      </c>
      <c r="D228" s="1" t="str">
        <f>IF(教室申込!G88="","",IFERROR(VALUE(教室申込!G88),""))</f>
        <v/>
      </c>
      <c r="E228" s="1" t="str">
        <f>IF(D228="","",COUNT($D$2:D228))</f>
        <v/>
      </c>
      <c r="F228" s="1" t="str">
        <f>IF(COUNTA(教室申込!$C$4)=0,"",教室申込!$C$4)</f>
        <v/>
      </c>
      <c r="G228" s="1" t="str">
        <f>IF(教室申込!D88="","",IFERROR(DATE(VALUE(LEFT(教室申込!D88,4)),VALUE(MID(教室申込!D88,6,FIND("/",教室申込!D88,6)-6)),VALUE(MID(教室申込!D88,FIND("/",教室申込!D88,6)+1,2))),""))</f>
        <v/>
      </c>
    </row>
    <row r="229" spans="1:7">
      <c r="A229" s="1">
        <f>228</f>
        <v>228</v>
      </c>
      <c r="B229" s="1">
        <f>88</f>
        <v>88</v>
      </c>
      <c r="C229" s="1" t="str">
        <f>"段位認定"</f>
        <v>段位認定</v>
      </c>
      <c r="D229" s="1" t="str">
        <f>IF(教室申込!H88="","",IFERROR(MATCH(教室申込!H88,料金表!$G$6:$G$8,0),""))</f>
        <v/>
      </c>
      <c r="E229" s="1" t="str">
        <f>IF(D229="","",COUNT($D$2:D229))</f>
        <v/>
      </c>
      <c r="F229" s="1" t="str">
        <f>IF(COUNTA(教室申込!$C$4)=0,"",教室申込!$C$4)</f>
        <v/>
      </c>
      <c r="G229" s="1" t="str">
        <f>IF(教室申込!D88="","",IFERROR(DATE(VALUE(LEFT(教室申込!D88,4)),VALUE(MID(教室申込!D88,6,FIND("/",教室申込!D88,6)-6)),VALUE(MID(教室申込!D88,FIND("/",教室申込!D88,6)+1,2))),""))</f>
        <v/>
      </c>
    </row>
    <row r="230" spans="1:7">
      <c r="A230" s="1">
        <f>229</f>
        <v>229</v>
      </c>
      <c r="B230" s="1">
        <f>89</f>
        <v>89</v>
      </c>
      <c r="C230" s="1" t="str">
        <f>"珠算"</f>
        <v>珠算</v>
      </c>
      <c r="D230" s="1" t="str">
        <f>IF(教室申込!F89="","",IFERROR(VALUE(教室申込!F89),""))</f>
        <v/>
      </c>
      <c r="E230" s="1" t="str">
        <f>IF(D230="","",COUNT($D$2:D230))</f>
        <v/>
      </c>
      <c r="F230" s="1" t="str">
        <f>IF(COUNTA(教室申込!$C$4)=0,"",教室申込!$C$4)</f>
        <v/>
      </c>
      <c r="G230" s="1" t="str">
        <f>IF(教室申込!D89="","",IFERROR(DATE(VALUE(LEFT(教室申込!D89,4)),VALUE(MID(教室申込!D89,6,FIND("/",教室申込!D89,6)-6)),VALUE(MID(教室申込!D89,FIND("/",教室申込!D89,6)+1,2))),""))</f>
        <v/>
      </c>
    </row>
    <row r="231" spans="1:7">
      <c r="A231" s="1">
        <f>230</f>
        <v>230</v>
      </c>
      <c r="B231" s="1">
        <f>89</f>
        <v>89</v>
      </c>
      <c r="C231" s="1" t="str">
        <f>"暗算"</f>
        <v>暗算</v>
      </c>
      <c r="D231" s="1" t="str">
        <f>IF(教室申込!G89="","",IFERROR(VALUE(教室申込!G89),""))</f>
        <v/>
      </c>
      <c r="E231" s="1" t="str">
        <f>IF(D231="","",COUNT($D$2:D231))</f>
        <v/>
      </c>
      <c r="F231" s="1" t="str">
        <f>IF(COUNTA(教室申込!$C$4)=0,"",教室申込!$C$4)</f>
        <v/>
      </c>
      <c r="G231" s="1" t="str">
        <f>IF(教室申込!D89="","",IFERROR(DATE(VALUE(LEFT(教室申込!D89,4)),VALUE(MID(教室申込!D89,6,FIND("/",教室申込!D89,6)-6)),VALUE(MID(教室申込!D89,FIND("/",教室申込!D89,6)+1,2))),""))</f>
        <v/>
      </c>
    </row>
    <row r="232" spans="1:7">
      <c r="A232" s="1">
        <f>231</f>
        <v>231</v>
      </c>
      <c r="B232" s="1">
        <f>89</f>
        <v>89</v>
      </c>
      <c r="C232" s="1" t="str">
        <f>"段位認定"</f>
        <v>段位認定</v>
      </c>
      <c r="D232" s="1" t="str">
        <f>IF(教室申込!H89="","",IFERROR(MATCH(教室申込!H89,料金表!$G$6:$G$8,0),""))</f>
        <v/>
      </c>
      <c r="E232" s="1" t="str">
        <f>IF(D232="","",COUNT($D$2:D232))</f>
        <v/>
      </c>
      <c r="F232" s="1" t="str">
        <f>IF(COUNTA(教室申込!$C$4)=0,"",教室申込!$C$4)</f>
        <v/>
      </c>
      <c r="G232" s="1" t="str">
        <f>IF(教室申込!D89="","",IFERROR(DATE(VALUE(LEFT(教室申込!D89,4)),VALUE(MID(教室申込!D89,6,FIND("/",教室申込!D89,6)-6)),VALUE(MID(教室申込!D89,FIND("/",教室申込!D89,6)+1,2))),""))</f>
        <v/>
      </c>
    </row>
    <row r="233" spans="1:7">
      <c r="A233" s="1">
        <f>232</f>
        <v>232</v>
      </c>
      <c r="B233" s="1">
        <f>90</f>
        <v>90</v>
      </c>
      <c r="C233" s="1" t="str">
        <f>"珠算"</f>
        <v>珠算</v>
      </c>
      <c r="D233" s="1" t="str">
        <f>IF(教室申込!F90="","",IFERROR(VALUE(教室申込!F90),""))</f>
        <v/>
      </c>
      <c r="E233" s="1" t="str">
        <f>IF(D233="","",COUNT($D$2:D233))</f>
        <v/>
      </c>
      <c r="F233" s="1" t="str">
        <f>IF(COUNTA(教室申込!$C$4)=0,"",教室申込!$C$4)</f>
        <v/>
      </c>
      <c r="G233" s="1" t="str">
        <f>IF(教室申込!D90="","",IFERROR(DATE(VALUE(LEFT(教室申込!D90,4)),VALUE(MID(教室申込!D90,6,FIND("/",教室申込!D90,6)-6)),VALUE(MID(教室申込!D90,FIND("/",教室申込!D90,6)+1,2))),""))</f>
        <v/>
      </c>
    </row>
    <row r="234" spans="1:7">
      <c r="A234" s="1">
        <f>233</f>
        <v>233</v>
      </c>
      <c r="B234" s="1">
        <f>90</f>
        <v>90</v>
      </c>
      <c r="C234" s="1" t="str">
        <f>"暗算"</f>
        <v>暗算</v>
      </c>
      <c r="D234" s="1" t="str">
        <f>IF(教室申込!G90="","",IFERROR(VALUE(教室申込!G90),""))</f>
        <v/>
      </c>
      <c r="E234" s="1" t="str">
        <f>IF(D234="","",COUNT($D$2:D234))</f>
        <v/>
      </c>
      <c r="F234" s="1" t="str">
        <f>IF(COUNTA(教室申込!$C$4)=0,"",教室申込!$C$4)</f>
        <v/>
      </c>
      <c r="G234" s="1" t="str">
        <f>IF(教室申込!D90="","",IFERROR(DATE(VALUE(LEFT(教室申込!D90,4)),VALUE(MID(教室申込!D90,6,FIND("/",教室申込!D90,6)-6)),VALUE(MID(教室申込!D90,FIND("/",教室申込!D90,6)+1,2))),""))</f>
        <v/>
      </c>
    </row>
    <row r="235" spans="1:7">
      <c r="A235" s="1">
        <f>234</f>
        <v>234</v>
      </c>
      <c r="B235" s="1">
        <f>90</f>
        <v>90</v>
      </c>
      <c r="C235" s="1" t="str">
        <f>"段位認定"</f>
        <v>段位認定</v>
      </c>
      <c r="D235" s="1" t="str">
        <f>IF(教室申込!H90="","",IFERROR(MATCH(教室申込!H90,料金表!$G$6:$G$8,0),""))</f>
        <v/>
      </c>
      <c r="E235" s="1" t="str">
        <f>IF(D235="","",COUNT($D$2:D235))</f>
        <v/>
      </c>
      <c r="F235" s="1" t="str">
        <f>IF(COUNTA(教室申込!$C$4)=0,"",教室申込!$C$4)</f>
        <v/>
      </c>
      <c r="G235" s="1" t="str">
        <f>IF(教室申込!D90="","",IFERROR(DATE(VALUE(LEFT(教室申込!D90,4)),VALUE(MID(教室申込!D90,6,FIND("/",教室申込!D90,6)-6)),VALUE(MID(教室申込!D90,FIND("/",教室申込!D90,6)+1,2))),""))</f>
        <v/>
      </c>
    </row>
    <row r="236" spans="1:7">
      <c r="A236" s="1">
        <f>235</f>
        <v>235</v>
      </c>
      <c r="B236" s="1">
        <f>91</f>
        <v>91</v>
      </c>
      <c r="C236" s="1" t="str">
        <f>"珠算"</f>
        <v>珠算</v>
      </c>
      <c r="D236" s="1" t="str">
        <f>IF(教室申込!F91="","",IFERROR(VALUE(教室申込!F91),""))</f>
        <v/>
      </c>
      <c r="E236" s="1" t="str">
        <f>IF(D236="","",COUNT($D$2:D236))</f>
        <v/>
      </c>
      <c r="F236" s="1" t="str">
        <f>IF(COUNTA(教室申込!$C$4)=0,"",教室申込!$C$4)</f>
        <v/>
      </c>
      <c r="G236" s="1" t="str">
        <f>IF(教室申込!D91="","",IFERROR(DATE(VALUE(LEFT(教室申込!D91,4)),VALUE(MID(教室申込!D91,6,FIND("/",教室申込!D91,6)-6)),VALUE(MID(教室申込!D91,FIND("/",教室申込!D91,6)+1,2))),""))</f>
        <v/>
      </c>
    </row>
    <row r="237" spans="1:7">
      <c r="A237" s="1">
        <f>236</f>
        <v>236</v>
      </c>
      <c r="B237" s="1">
        <f>91</f>
        <v>91</v>
      </c>
      <c r="C237" s="1" t="str">
        <f>"暗算"</f>
        <v>暗算</v>
      </c>
      <c r="D237" s="1" t="str">
        <f>IF(教室申込!G91="","",IFERROR(VALUE(教室申込!G91),""))</f>
        <v/>
      </c>
      <c r="E237" s="1" t="str">
        <f>IF(D237="","",COUNT($D$2:D237))</f>
        <v/>
      </c>
      <c r="F237" s="1" t="str">
        <f>IF(COUNTA(教室申込!$C$4)=0,"",教室申込!$C$4)</f>
        <v/>
      </c>
      <c r="G237" s="1" t="str">
        <f>IF(教室申込!D91="","",IFERROR(DATE(VALUE(LEFT(教室申込!D91,4)),VALUE(MID(教室申込!D91,6,FIND("/",教室申込!D91,6)-6)),VALUE(MID(教室申込!D91,FIND("/",教室申込!D91,6)+1,2))),""))</f>
        <v/>
      </c>
    </row>
    <row r="238" spans="1:7">
      <c r="A238" s="1">
        <f>237</f>
        <v>237</v>
      </c>
      <c r="B238" s="1">
        <f>91</f>
        <v>91</v>
      </c>
      <c r="C238" s="1" t="str">
        <f>"段位認定"</f>
        <v>段位認定</v>
      </c>
      <c r="D238" s="1" t="str">
        <f>IF(教室申込!H91="","",IFERROR(MATCH(教室申込!H91,料金表!$G$6:$G$8,0),""))</f>
        <v/>
      </c>
      <c r="E238" s="1" t="str">
        <f>IF(D238="","",COUNT($D$2:D238))</f>
        <v/>
      </c>
      <c r="F238" s="1" t="str">
        <f>IF(COUNTA(教室申込!$C$4)=0,"",教室申込!$C$4)</f>
        <v/>
      </c>
      <c r="G238" s="1" t="str">
        <f>IF(教室申込!D91="","",IFERROR(DATE(VALUE(LEFT(教室申込!D91,4)),VALUE(MID(教室申込!D91,6,FIND("/",教室申込!D91,6)-6)),VALUE(MID(教室申込!D91,FIND("/",教室申込!D91,6)+1,2))),""))</f>
        <v/>
      </c>
    </row>
    <row r="239" spans="1:7">
      <c r="A239" s="1">
        <f>238</f>
        <v>238</v>
      </c>
      <c r="B239" s="1">
        <f>92</f>
        <v>92</v>
      </c>
      <c r="C239" s="1" t="str">
        <f>"珠算"</f>
        <v>珠算</v>
      </c>
      <c r="D239" s="1" t="str">
        <f>IF(教室申込!F92="","",IFERROR(VALUE(教室申込!F92),""))</f>
        <v/>
      </c>
      <c r="E239" s="1" t="str">
        <f>IF(D239="","",COUNT($D$2:D239))</f>
        <v/>
      </c>
      <c r="F239" s="1" t="str">
        <f>IF(COUNTA(教室申込!$C$4)=0,"",教室申込!$C$4)</f>
        <v/>
      </c>
      <c r="G239" s="1" t="str">
        <f>IF(教室申込!D92="","",IFERROR(DATE(VALUE(LEFT(教室申込!D92,4)),VALUE(MID(教室申込!D92,6,FIND("/",教室申込!D92,6)-6)),VALUE(MID(教室申込!D92,FIND("/",教室申込!D92,6)+1,2))),""))</f>
        <v/>
      </c>
    </row>
    <row r="240" spans="1:7">
      <c r="A240" s="1">
        <f>239</f>
        <v>239</v>
      </c>
      <c r="B240" s="1">
        <f>92</f>
        <v>92</v>
      </c>
      <c r="C240" s="1" t="str">
        <f>"暗算"</f>
        <v>暗算</v>
      </c>
      <c r="D240" s="1" t="str">
        <f>IF(教室申込!G92="","",IFERROR(VALUE(教室申込!G92),""))</f>
        <v/>
      </c>
      <c r="E240" s="1" t="str">
        <f>IF(D240="","",COUNT($D$2:D240))</f>
        <v/>
      </c>
      <c r="F240" s="1" t="str">
        <f>IF(COUNTA(教室申込!$C$4)=0,"",教室申込!$C$4)</f>
        <v/>
      </c>
      <c r="G240" s="1" t="str">
        <f>IF(教室申込!D92="","",IFERROR(DATE(VALUE(LEFT(教室申込!D92,4)),VALUE(MID(教室申込!D92,6,FIND("/",教室申込!D92,6)-6)),VALUE(MID(教室申込!D92,FIND("/",教室申込!D92,6)+1,2))),""))</f>
        <v/>
      </c>
    </row>
    <row r="241" spans="1:7">
      <c r="A241" s="1">
        <f>240</f>
        <v>240</v>
      </c>
      <c r="B241" s="1">
        <f>92</f>
        <v>92</v>
      </c>
      <c r="C241" s="1" t="str">
        <f>"段位認定"</f>
        <v>段位認定</v>
      </c>
      <c r="D241" s="1" t="str">
        <f>IF(教室申込!H92="","",IFERROR(MATCH(教室申込!H92,料金表!$G$6:$G$8,0),""))</f>
        <v/>
      </c>
      <c r="E241" s="1" t="str">
        <f>IF(D241="","",COUNT($D$2:D241))</f>
        <v/>
      </c>
      <c r="F241" s="1" t="str">
        <f>IF(COUNTA(教室申込!$C$4)=0,"",教室申込!$C$4)</f>
        <v/>
      </c>
      <c r="G241" s="1" t="str">
        <f>IF(教室申込!D92="","",IFERROR(DATE(VALUE(LEFT(教室申込!D92,4)),VALUE(MID(教室申込!D92,6,FIND("/",教室申込!D92,6)-6)),VALUE(MID(教室申込!D92,FIND("/",教室申込!D92,6)+1,2))),""))</f>
        <v/>
      </c>
    </row>
    <row r="242" spans="1:7">
      <c r="A242" s="1">
        <f>241</f>
        <v>241</v>
      </c>
      <c r="B242" s="1">
        <f>93</f>
        <v>93</v>
      </c>
      <c r="C242" s="1" t="str">
        <f>"珠算"</f>
        <v>珠算</v>
      </c>
      <c r="D242" s="1" t="str">
        <f>IF(教室申込!F93="","",IFERROR(VALUE(教室申込!F93),""))</f>
        <v/>
      </c>
      <c r="E242" s="1" t="str">
        <f>IF(D242="","",COUNT($D$2:D242))</f>
        <v/>
      </c>
      <c r="F242" s="1" t="str">
        <f>IF(COUNTA(教室申込!$C$4)=0,"",教室申込!$C$4)</f>
        <v/>
      </c>
      <c r="G242" s="1" t="str">
        <f>IF(教室申込!D93="","",IFERROR(DATE(VALUE(LEFT(教室申込!D93,4)),VALUE(MID(教室申込!D93,6,FIND("/",教室申込!D93,6)-6)),VALUE(MID(教室申込!D93,FIND("/",教室申込!D93,6)+1,2))),""))</f>
        <v/>
      </c>
    </row>
    <row r="243" spans="1:7">
      <c r="A243" s="1">
        <f>242</f>
        <v>242</v>
      </c>
      <c r="B243" s="1">
        <f>93</f>
        <v>93</v>
      </c>
      <c r="C243" s="1" t="str">
        <f>"暗算"</f>
        <v>暗算</v>
      </c>
      <c r="D243" s="1" t="str">
        <f>IF(教室申込!G93="","",IFERROR(VALUE(教室申込!G93),""))</f>
        <v/>
      </c>
      <c r="E243" s="1" t="str">
        <f>IF(D243="","",COUNT($D$2:D243))</f>
        <v/>
      </c>
      <c r="F243" s="1" t="str">
        <f>IF(COUNTA(教室申込!$C$4)=0,"",教室申込!$C$4)</f>
        <v/>
      </c>
      <c r="G243" s="1" t="str">
        <f>IF(教室申込!D93="","",IFERROR(DATE(VALUE(LEFT(教室申込!D93,4)),VALUE(MID(教室申込!D93,6,FIND("/",教室申込!D93,6)-6)),VALUE(MID(教室申込!D93,FIND("/",教室申込!D93,6)+1,2))),""))</f>
        <v/>
      </c>
    </row>
    <row r="244" spans="1:7">
      <c r="A244" s="1">
        <f>243</f>
        <v>243</v>
      </c>
      <c r="B244" s="1">
        <f>93</f>
        <v>93</v>
      </c>
      <c r="C244" s="1" t="str">
        <f>"段位認定"</f>
        <v>段位認定</v>
      </c>
      <c r="D244" s="1" t="str">
        <f>IF(教室申込!H93="","",IFERROR(MATCH(教室申込!H93,料金表!$G$6:$G$8,0),""))</f>
        <v/>
      </c>
      <c r="E244" s="1" t="str">
        <f>IF(D244="","",COUNT($D$2:D244))</f>
        <v/>
      </c>
      <c r="F244" s="1" t="str">
        <f>IF(COUNTA(教室申込!$C$4)=0,"",教室申込!$C$4)</f>
        <v/>
      </c>
      <c r="G244" s="1" t="str">
        <f>IF(教室申込!D93="","",IFERROR(DATE(VALUE(LEFT(教室申込!D93,4)),VALUE(MID(教室申込!D93,6,FIND("/",教室申込!D93,6)-6)),VALUE(MID(教室申込!D93,FIND("/",教室申込!D93,6)+1,2))),""))</f>
        <v/>
      </c>
    </row>
    <row r="245" spans="1:7">
      <c r="A245" s="1">
        <f>244</f>
        <v>244</v>
      </c>
      <c r="B245" s="1">
        <f>94</f>
        <v>94</v>
      </c>
      <c r="C245" s="1" t="str">
        <f>"珠算"</f>
        <v>珠算</v>
      </c>
      <c r="D245" s="1" t="str">
        <f>IF(教室申込!F94="","",IFERROR(VALUE(教室申込!F94),""))</f>
        <v/>
      </c>
      <c r="E245" s="1" t="str">
        <f>IF(D245="","",COUNT($D$2:D245))</f>
        <v/>
      </c>
      <c r="F245" s="1" t="str">
        <f>IF(COUNTA(教室申込!$C$4)=0,"",教室申込!$C$4)</f>
        <v/>
      </c>
      <c r="G245" s="1" t="str">
        <f>IF(教室申込!D94="","",IFERROR(DATE(VALUE(LEFT(教室申込!D94,4)),VALUE(MID(教室申込!D94,6,FIND("/",教室申込!D94,6)-6)),VALUE(MID(教室申込!D94,FIND("/",教室申込!D94,6)+1,2))),""))</f>
        <v/>
      </c>
    </row>
    <row r="246" spans="1:7">
      <c r="A246" s="1">
        <f>245</f>
        <v>245</v>
      </c>
      <c r="B246" s="1">
        <f>94</f>
        <v>94</v>
      </c>
      <c r="C246" s="1" t="str">
        <f>"暗算"</f>
        <v>暗算</v>
      </c>
      <c r="D246" s="1" t="str">
        <f>IF(教室申込!G94="","",IFERROR(VALUE(教室申込!G94),""))</f>
        <v/>
      </c>
      <c r="E246" s="1" t="str">
        <f>IF(D246="","",COUNT($D$2:D246))</f>
        <v/>
      </c>
      <c r="F246" s="1" t="str">
        <f>IF(COUNTA(教室申込!$C$4)=0,"",教室申込!$C$4)</f>
        <v/>
      </c>
      <c r="G246" s="1" t="str">
        <f>IF(教室申込!D94="","",IFERROR(DATE(VALUE(LEFT(教室申込!D94,4)),VALUE(MID(教室申込!D94,6,FIND("/",教室申込!D94,6)-6)),VALUE(MID(教室申込!D94,FIND("/",教室申込!D94,6)+1,2))),""))</f>
        <v/>
      </c>
    </row>
    <row r="247" spans="1:7">
      <c r="A247" s="1">
        <f>246</f>
        <v>246</v>
      </c>
      <c r="B247" s="1">
        <f>94</f>
        <v>94</v>
      </c>
      <c r="C247" s="1" t="str">
        <f>"段位認定"</f>
        <v>段位認定</v>
      </c>
      <c r="D247" s="1" t="str">
        <f>IF(教室申込!H94="","",IFERROR(MATCH(教室申込!H94,料金表!$G$6:$G$8,0),""))</f>
        <v/>
      </c>
      <c r="E247" s="1" t="str">
        <f>IF(D247="","",COUNT($D$2:D247))</f>
        <v/>
      </c>
      <c r="F247" s="1" t="str">
        <f>IF(COUNTA(教室申込!$C$4)=0,"",教室申込!$C$4)</f>
        <v/>
      </c>
      <c r="G247" s="1" t="str">
        <f>IF(教室申込!D94="","",IFERROR(DATE(VALUE(LEFT(教室申込!D94,4)),VALUE(MID(教室申込!D94,6,FIND("/",教室申込!D94,6)-6)),VALUE(MID(教室申込!D94,FIND("/",教室申込!D94,6)+1,2))),""))</f>
        <v/>
      </c>
    </row>
    <row r="248" spans="1:7">
      <c r="A248" s="1">
        <f>247</f>
        <v>247</v>
      </c>
      <c r="B248" s="1">
        <f>95</f>
        <v>95</v>
      </c>
      <c r="C248" s="1" t="str">
        <f>"珠算"</f>
        <v>珠算</v>
      </c>
      <c r="D248" s="1" t="str">
        <f>IF(教室申込!F95="","",IFERROR(VALUE(教室申込!F95),""))</f>
        <v/>
      </c>
      <c r="E248" s="1" t="str">
        <f>IF(D248="","",COUNT($D$2:D248))</f>
        <v/>
      </c>
      <c r="F248" s="1" t="str">
        <f>IF(COUNTA(教室申込!$C$4)=0,"",教室申込!$C$4)</f>
        <v/>
      </c>
      <c r="G248" s="1" t="str">
        <f>IF(教室申込!D95="","",IFERROR(DATE(VALUE(LEFT(教室申込!D95,4)),VALUE(MID(教室申込!D95,6,FIND("/",教室申込!D95,6)-6)),VALUE(MID(教室申込!D95,FIND("/",教室申込!D95,6)+1,2))),""))</f>
        <v/>
      </c>
    </row>
    <row r="249" spans="1:7">
      <c r="A249" s="1">
        <f>248</f>
        <v>248</v>
      </c>
      <c r="B249" s="1">
        <f>95</f>
        <v>95</v>
      </c>
      <c r="C249" s="1" t="str">
        <f>"暗算"</f>
        <v>暗算</v>
      </c>
      <c r="D249" s="1" t="str">
        <f>IF(教室申込!G95="","",IFERROR(VALUE(教室申込!G95),""))</f>
        <v/>
      </c>
      <c r="E249" s="1" t="str">
        <f>IF(D249="","",COUNT($D$2:D249))</f>
        <v/>
      </c>
      <c r="F249" s="1" t="str">
        <f>IF(COUNTA(教室申込!$C$4)=0,"",教室申込!$C$4)</f>
        <v/>
      </c>
      <c r="G249" s="1" t="str">
        <f>IF(教室申込!D95="","",IFERROR(DATE(VALUE(LEFT(教室申込!D95,4)),VALUE(MID(教室申込!D95,6,FIND("/",教室申込!D95,6)-6)),VALUE(MID(教室申込!D95,FIND("/",教室申込!D95,6)+1,2))),""))</f>
        <v/>
      </c>
    </row>
    <row r="250" spans="1:7">
      <c r="A250" s="1">
        <f>249</f>
        <v>249</v>
      </c>
      <c r="B250" s="1">
        <f>95</f>
        <v>95</v>
      </c>
      <c r="C250" s="1" t="str">
        <f>"段位認定"</f>
        <v>段位認定</v>
      </c>
      <c r="D250" s="1" t="str">
        <f>IF(教室申込!H95="","",IFERROR(MATCH(教室申込!H95,料金表!$G$6:$G$8,0),""))</f>
        <v/>
      </c>
      <c r="E250" s="1" t="str">
        <f>IF(D250="","",COUNT($D$2:D250))</f>
        <v/>
      </c>
      <c r="F250" s="1" t="str">
        <f>IF(COUNTA(教室申込!$C$4)=0,"",教室申込!$C$4)</f>
        <v/>
      </c>
      <c r="G250" s="1" t="str">
        <f>IF(教室申込!D95="","",IFERROR(DATE(VALUE(LEFT(教室申込!D95,4)),VALUE(MID(教室申込!D95,6,FIND("/",教室申込!D95,6)-6)),VALUE(MID(教室申込!D95,FIND("/",教室申込!D95,6)+1,2))),""))</f>
        <v/>
      </c>
    </row>
    <row r="251" spans="1:7">
      <c r="A251" s="1">
        <f>250</f>
        <v>250</v>
      </c>
      <c r="B251" s="1">
        <f>96</f>
        <v>96</v>
      </c>
      <c r="C251" s="1" t="str">
        <f>"珠算"</f>
        <v>珠算</v>
      </c>
      <c r="D251" s="1" t="str">
        <f>IF(教室申込!F96="","",IFERROR(VALUE(教室申込!F96),""))</f>
        <v/>
      </c>
      <c r="E251" s="1" t="str">
        <f>IF(D251="","",COUNT($D$2:D251))</f>
        <v/>
      </c>
      <c r="F251" s="1" t="str">
        <f>IF(COUNTA(教室申込!$C$4)=0,"",教室申込!$C$4)</f>
        <v/>
      </c>
      <c r="G251" s="1" t="str">
        <f>IF(教室申込!D96="","",IFERROR(DATE(VALUE(LEFT(教室申込!D96,4)),VALUE(MID(教室申込!D96,6,FIND("/",教室申込!D96,6)-6)),VALUE(MID(教室申込!D96,FIND("/",教室申込!D96,6)+1,2))),""))</f>
        <v/>
      </c>
    </row>
    <row r="252" spans="1:7">
      <c r="A252" s="1">
        <f>251</f>
        <v>251</v>
      </c>
      <c r="B252" s="1">
        <f>96</f>
        <v>96</v>
      </c>
      <c r="C252" s="1" t="str">
        <f>"暗算"</f>
        <v>暗算</v>
      </c>
      <c r="D252" s="1" t="str">
        <f>IF(教室申込!G96="","",IFERROR(VALUE(教室申込!G96),""))</f>
        <v/>
      </c>
      <c r="E252" s="1" t="str">
        <f>IF(D252="","",COUNT($D$2:D252))</f>
        <v/>
      </c>
      <c r="F252" s="1" t="str">
        <f>IF(COUNTA(教室申込!$C$4)=0,"",教室申込!$C$4)</f>
        <v/>
      </c>
      <c r="G252" s="1" t="str">
        <f>IF(教室申込!D96="","",IFERROR(DATE(VALUE(LEFT(教室申込!D96,4)),VALUE(MID(教室申込!D96,6,FIND("/",教室申込!D96,6)-6)),VALUE(MID(教室申込!D96,FIND("/",教室申込!D96,6)+1,2))),""))</f>
        <v/>
      </c>
    </row>
    <row r="253" spans="1:7">
      <c r="A253" s="1">
        <f>252</f>
        <v>252</v>
      </c>
      <c r="B253" s="1">
        <f>96</f>
        <v>96</v>
      </c>
      <c r="C253" s="1" t="str">
        <f>"段位認定"</f>
        <v>段位認定</v>
      </c>
      <c r="D253" s="1" t="str">
        <f>IF(教室申込!H96="","",IFERROR(MATCH(教室申込!H96,料金表!$G$6:$G$8,0),""))</f>
        <v/>
      </c>
      <c r="E253" s="1" t="str">
        <f>IF(D253="","",COUNT($D$2:D253))</f>
        <v/>
      </c>
      <c r="F253" s="1" t="str">
        <f>IF(COUNTA(教室申込!$C$4)=0,"",教室申込!$C$4)</f>
        <v/>
      </c>
      <c r="G253" s="1" t="str">
        <f>IF(教室申込!D96="","",IFERROR(DATE(VALUE(LEFT(教室申込!D96,4)),VALUE(MID(教室申込!D96,6,FIND("/",教室申込!D96,6)-6)),VALUE(MID(教室申込!D96,FIND("/",教室申込!D96,6)+1,2))),""))</f>
        <v/>
      </c>
    </row>
    <row r="254" spans="1:7">
      <c r="A254" s="1">
        <f>253</f>
        <v>253</v>
      </c>
      <c r="B254" s="1">
        <f>97</f>
        <v>97</v>
      </c>
      <c r="C254" s="1" t="str">
        <f>"珠算"</f>
        <v>珠算</v>
      </c>
      <c r="D254" s="1" t="str">
        <f>IF(教室申込!F97="","",IFERROR(VALUE(教室申込!F97),""))</f>
        <v/>
      </c>
      <c r="E254" s="1" t="str">
        <f>IF(D254="","",COUNT($D$2:D254))</f>
        <v/>
      </c>
      <c r="F254" s="1" t="str">
        <f>IF(COUNTA(教室申込!$C$4)=0,"",教室申込!$C$4)</f>
        <v/>
      </c>
      <c r="G254" s="1" t="str">
        <f>IF(教室申込!D97="","",IFERROR(DATE(VALUE(LEFT(教室申込!D97,4)),VALUE(MID(教室申込!D97,6,FIND("/",教室申込!D97,6)-6)),VALUE(MID(教室申込!D97,FIND("/",教室申込!D97,6)+1,2))),""))</f>
        <v/>
      </c>
    </row>
    <row r="255" spans="1:7">
      <c r="A255" s="1">
        <f>254</f>
        <v>254</v>
      </c>
      <c r="B255" s="1">
        <f>97</f>
        <v>97</v>
      </c>
      <c r="C255" s="1" t="str">
        <f>"暗算"</f>
        <v>暗算</v>
      </c>
      <c r="D255" s="1" t="str">
        <f>IF(教室申込!G97="","",IFERROR(VALUE(教室申込!G97),""))</f>
        <v/>
      </c>
      <c r="E255" s="1" t="str">
        <f>IF(D255="","",COUNT($D$2:D255))</f>
        <v/>
      </c>
      <c r="F255" s="1" t="str">
        <f>IF(COUNTA(教室申込!$C$4)=0,"",教室申込!$C$4)</f>
        <v/>
      </c>
      <c r="G255" s="1" t="str">
        <f>IF(教室申込!D97="","",IFERROR(DATE(VALUE(LEFT(教室申込!D97,4)),VALUE(MID(教室申込!D97,6,FIND("/",教室申込!D97,6)-6)),VALUE(MID(教室申込!D97,FIND("/",教室申込!D97,6)+1,2))),""))</f>
        <v/>
      </c>
    </row>
    <row r="256" spans="1:7">
      <c r="A256" s="1">
        <f>255</f>
        <v>255</v>
      </c>
      <c r="B256" s="1">
        <f>97</f>
        <v>97</v>
      </c>
      <c r="C256" s="1" t="str">
        <f>"段位認定"</f>
        <v>段位認定</v>
      </c>
      <c r="D256" s="1" t="str">
        <f>IF(教室申込!H97="","",IFERROR(MATCH(教室申込!H97,料金表!$G$6:$G$8,0),""))</f>
        <v/>
      </c>
      <c r="E256" s="1" t="str">
        <f>IF(D256="","",COUNT($D$2:D256))</f>
        <v/>
      </c>
      <c r="F256" s="1" t="str">
        <f>IF(COUNTA(教室申込!$C$4)=0,"",教室申込!$C$4)</f>
        <v/>
      </c>
      <c r="G256" s="1" t="str">
        <f>IF(教室申込!D97="","",IFERROR(DATE(VALUE(LEFT(教室申込!D97,4)),VALUE(MID(教室申込!D97,6,FIND("/",教室申込!D97,6)-6)),VALUE(MID(教室申込!D97,FIND("/",教室申込!D97,6)+1,2))),""))</f>
        <v/>
      </c>
    </row>
    <row r="257" spans="1:7">
      <c r="A257" s="1">
        <f>256</f>
        <v>256</v>
      </c>
      <c r="B257" s="1">
        <f>98</f>
        <v>98</v>
      </c>
      <c r="C257" s="1" t="str">
        <f>"珠算"</f>
        <v>珠算</v>
      </c>
      <c r="D257" s="1" t="str">
        <f>IF(教室申込!F98="","",IFERROR(VALUE(教室申込!F98),""))</f>
        <v/>
      </c>
      <c r="E257" s="1" t="str">
        <f>IF(D257="","",COUNT($D$2:D257))</f>
        <v/>
      </c>
      <c r="F257" s="1" t="str">
        <f>IF(COUNTA(教室申込!$C$4)=0,"",教室申込!$C$4)</f>
        <v/>
      </c>
      <c r="G257" s="1" t="str">
        <f>IF(教室申込!D98="","",IFERROR(DATE(VALUE(LEFT(教室申込!D98,4)),VALUE(MID(教室申込!D98,6,FIND("/",教室申込!D98,6)-6)),VALUE(MID(教室申込!D98,FIND("/",教室申込!D98,6)+1,2))),""))</f>
        <v/>
      </c>
    </row>
    <row r="258" spans="1:7">
      <c r="A258" s="1">
        <f>257</f>
        <v>257</v>
      </c>
      <c r="B258" s="1">
        <f>98</f>
        <v>98</v>
      </c>
      <c r="C258" s="1" t="str">
        <f>"暗算"</f>
        <v>暗算</v>
      </c>
      <c r="D258" s="1" t="str">
        <f>IF(教室申込!G98="","",IFERROR(VALUE(教室申込!G98),""))</f>
        <v/>
      </c>
      <c r="E258" s="1" t="str">
        <f>IF(D258="","",COUNT($D$2:D258))</f>
        <v/>
      </c>
      <c r="F258" s="1" t="str">
        <f>IF(COUNTA(教室申込!$C$4)=0,"",教室申込!$C$4)</f>
        <v/>
      </c>
      <c r="G258" s="1" t="str">
        <f>IF(教室申込!D98="","",IFERROR(DATE(VALUE(LEFT(教室申込!D98,4)),VALUE(MID(教室申込!D98,6,FIND("/",教室申込!D98,6)-6)),VALUE(MID(教室申込!D98,FIND("/",教室申込!D98,6)+1,2))),""))</f>
        <v/>
      </c>
    </row>
    <row r="259" spans="1:7">
      <c r="A259" s="1">
        <f>258</f>
        <v>258</v>
      </c>
      <c r="B259" s="1">
        <f>98</f>
        <v>98</v>
      </c>
      <c r="C259" s="1" t="str">
        <f>"段位認定"</f>
        <v>段位認定</v>
      </c>
      <c r="D259" s="1" t="str">
        <f>IF(教室申込!H98="","",IFERROR(MATCH(教室申込!H98,料金表!$G$6:$G$8,0),""))</f>
        <v/>
      </c>
      <c r="E259" s="1" t="str">
        <f>IF(D259="","",COUNT($D$2:D259))</f>
        <v/>
      </c>
      <c r="F259" s="1" t="str">
        <f>IF(COUNTA(教室申込!$C$4)=0,"",教室申込!$C$4)</f>
        <v/>
      </c>
      <c r="G259" s="1" t="str">
        <f>IF(教室申込!D98="","",IFERROR(DATE(VALUE(LEFT(教室申込!D98,4)),VALUE(MID(教室申込!D98,6,FIND("/",教室申込!D98,6)-6)),VALUE(MID(教室申込!D98,FIND("/",教室申込!D98,6)+1,2))),""))</f>
        <v/>
      </c>
    </row>
    <row r="260" spans="1:7">
      <c r="A260" s="1">
        <f>259</f>
        <v>259</v>
      </c>
      <c r="B260" s="1">
        <f>99</f>
        <v>99</v>
      </c>
      <c r="C260" s="1" t="str">
        <f>"珠算"</f>
        <v>珠算</v>
      </c>
      <c r="D260" s="1" t="str">
        <f>IF(教室申込!F99="","",IFERROR(VALUE(教室申込!F99),""))</f>
        <v/>
      </c>
      <c r="E260" s="1" t="str">
        <f>IF(D260="","",COUNT($D$2:D260))</f>
        <v/>
      </c>
      <c r="F260" s="1" t="str">
        <f>IF(COUNTA(教室申込!$C$4)=0,"",教室申込!$C$4)</f>
        <v/>
      </c>
      <c r="G260" s="1" t="str">
        <f>IF(教室申込!D99="","",IFERROR(DATE(VALUE(LEFT(教室申込!D99,4)),VALUE(MID(教室申込!D99,6,FIND("/",教室申込!D99,6)-6)),VALUE(MID(教室申込!D99,FIND("/",教室申込!D99,6)+1,2))),""))</f>
        <v/>
      </c>
    </row>
    <row r="261" spans="1:7">
      <c r="A261" s="1">
        <f>260</f>
        <v>260</v>
      </c>
      <c r="B261" s="1">
        <f>99</f>
        <v>99</v>
      </c>
      <c r="C261" s="1" t="str">
        <f>"暗算"</f>
        <v>暗算</v>
      </c>
      <c r="D261" s="1" t="str">
        <f>IF(教室申込!G99="","",IFERROR(VALUE(教室申込!G99),""))</f>
        <v/>
      </c>
      <c r="E261" s="1" t="str">
        <f>IF(D261="","",COUNT($D$2:D261))</f>
        <v/>
      </c>
      <c r="F261" s="1" t="str">
        <f>IF(COUNTA(教室申込!$C$4)=0,"",教室申込!$C$4)</f>
        <v/>
      </c>
      <c r="G261" s="1" t="str">
        <f>IF(教室申込!D99="","",IFERROR(DATE(VALUE(LEFT(教室申込!D99,4)),VALUE(MID(教室申込!D99,6,FIND("/",教室申込!D99,6)-6)),VALUE(MID(教室申込!D99,FIND("/",教室申込!D99,6)+1,2))),""))</f>
        <v/>
      </c>
    </row>
    <row r="262" spans="1:7">
      <c r="A262" s="1">
        <f>261</f>
        <v>261</v>
      </c>
      <c r="B262" s="1">
        <f>99</f>
        <v>99</v>
      </c>
      <c r="C262" s="1" t="str">
        <f>"段位認定"</f>
        <v>段位認定</v>
      </c>
      <c r="D262" s="1" t="str">
        <f>IF(教室申込!H99="","",IFERROR(MATCH(教室申込!H99,料金表!$G$6:$G$8,0),""))</f>
        <v/>
      </c>
      <c r="E262" s="1" t="str">
        <f>IF(D262="","",COUNT($D$2:D262))</f>
        <v/>
      </c>
      <c r="F262" s="1" t="str">
        <f>IF(COUNTA(教室申込!$C$4)=0,"",教室申込!$C$4)</f>
        <v/>
      </c>
      <c r="G262" s="1" t="str">
        <f>IF(教室申込!D99="","",IFERROR(DATE(VALUE(LEFT(教室申込!D99,4)),VALUE(MID(教室申込!D99,6,FIND("/",教室申込!D99,6)-6)),VALUE(MID(教室申込!D99,FIND("/",教室申込!D99,6)+1,2))),""))</f>
        <v/>
      </c>
    </row>
    <row r="263" spans="1:7">
      <c r="A263" s="1">
        <f>262</f>
        <v>262</v>
      </c>
      <c r="B263" s="1">
        <f>100</f>
        <v>100</v>
      </c>
      <c r="C263" s="1" t="str">
        <f>"珠算"</f>
        <v>珠算</v>
      </c>
      <c r="D263" s="1" t="str">
        <f>IF(教室申込!F100="","",IFERROR(VALUE(教室申込!F100),""))</f>
        <v/>
      </c>
      <c r="E263" s="1" t="str">
        <f>IF(D263="","",COUNT($D$2:D263))</f>
        <v/>
      </c>
      <c r="F263" s="1" t="str">
        <f>IF(COUNTA(教室申込!$C$4)=0,"",教室申込!$C$4)</f>
        <v/>
      </c>
      <c r="G263" s="1" t="str">
        <f>IF(教室申込!D100="","",IFERROR(DATE(VALUE(LEFT(教室申込!D100,4)),VALUE(MID(教室申込!D100,6,FIND("/",教室申込!D100,6)-6)),VALUE(MID(教室申込!D100,FIND("/",教室申込!D100,6)+1,2))),""))</f>
        <v/>
      </c>
    </row>
    <row r="264" spans="1:7">
      <c r="A264" s="1">
        <f>263</f>
        <v>263</v>
      </c>
      <c r="B264" s="1">
        <f>100</f>
        <v>100</v>
      </c>
      <c r="C264" s="1" t="str">
        <f>"暗算"</f>
        <v>暗算</v>
      </c>
      <c r="D264" s="1" t="str">
        <f>IF(教室申込!G100="","",IFERROR(VALUE(教室申込!G100),""))</f>
        <v/>
      </c>
      <c r="E264" s="1" t="str">
        <f>IF(D264="","",COUNT($D$2:D264))</f>
        <v/>
      </c>
      <c r="F264" s="1" t="str">
        <f>IF(COUNTA(教室申込!$C$4)=0,"",教室申込!$C$4)</f>
        <v/>
      </c>
      <c r="G264" s="1" t="str">
        <f>IF(教室申込!D100="","",IFERROR(DATE(VALUE(LEFT(教室申込!D100,4)),VALUE(MID(教室申込!D100,6,FIND("/",教室申込!D100,6)-6)),VALUE(MID(教室申込!D100,FIND("/",教室申込!D100,6)+1,2))),""))</f>
        <v/>
      </c>
    </row>
    <row r="265" spans="1:7">
      <c r="A265" s="1">
        <f>264</f>
        <v>264</v>
      </c>
      <c r="B265" s="1">
        <f>100</f>
        <v>100</v>
      </c>
      <c r="C265" s="1" t="str">
        <f>"段位認定"</f>
        <v>段位認定</v>
      </c>
      <c r="D265" s="1" t="str">
        <f>IF(教室申込!H100="","",IFERROR(MATCH(教室申込!H100,料金表!$G$6:$G$8,0),""))</f>
        <v/>
      </c>
      <c r="E265" s="1" t="str">
        <f>IF(D265="","",COUNT($D$2:D265))</f>
        <v/>
      </c>
      <c r="F265" s="1" t="str">
        <f>IF(COUNTA(教室申込!$C$4)=0,"",教室申込!$C$4)</f>
        <v/>
      </c>
      <c r="G265" s="1" t="str">
        <f>IF(教室申込!D100="","",IFERROR(DATE(VALUE(LEFT(教室申込!D100,4)),VALUE(MID(教室申込!D100,6,FIND("/",教室申込!D100,6)-6)),VALUE(MID(教室申込!D100,FIND("/",教室申込!D100,6)+1,2))),""))</f>
        <v/>
      </c>
    </row>
    <row r="266" spans="1:7">
      <c r="A266" s="1">
        <f>265</f>
        <v>265</v>
      </c>
      <c r="B266" s="1">
        <f>101</f>
        <v>101</v>
      </c>
      <c r="C266" s="1" t="str">
        <f>"珠算"</f>
        <v>珠算</v>
      </c>
      <c r="D266" s="1" t="str">
        <f>IF(教室申込!F101="","",IFERROR(VALUE(教室申込!F101),""))</f>
        <v/>
      </c>
      <c r="E266" s="1" t="str">
        <f>IF(D266="","",COUNT($D$2:D266))</f>
        <v/>
      </c>
      <c r="F266" s="1" t="str">
        <f>IF(COUNTA(教室申込!$C$4)=0,"",教室申込!$C$4)</f>
        <v/>
      </c>
      <c r="G266" s="1" t="str">
        <f>IF(教室申込!D101="","",IFERROR(DATE(VALUE(LEFT(教室申込!D101,4)),VALUE(MID(教室申込!D101,6,FIND("/",教室申込!D101,6)-6)),VALUE(MID(教室申込!D101,FIND("/",教室申込!D101,6)+1,2))),""))</f>
        <v/>
      </c>
    </row>
    <row r="267" spans="1:7">
      <c r="A267" s="1">
        <f>266</f>
        <v>266</v>
      </c>
      <c r="B267" s="1">
        <f>101</f>
        <v>101</v>
      </c>
      <c r="C267" s="1" t="str">
        <f>"暗算"</f>
        <v>暗算</v>
      </c>
      <c r="D267" s="1" t="str">
        <f>IF(教室申込!G101="","",IFERROR(VALUE(教室申込!G101),""))</f>
        <v/>
      </c>
      <c r="E267" s="1" t="str">
        <f>IF(D267="","",COUNT($D$2:D267))</f>
        <v/>
      </c>
      <c r="F267" s="1" t="str">
        <f>IF(COUNTA(教室申込!$C$4)=0,"",教室申込!$C$4)</f>
        <v/>
      </c>
      <c r="G267" s="1" t="str">
        <f>IF(教室申込!D101="","",IFERROR(DATE(VALUE(LEFT(教室申込!D101,4)),VALUE(MID(教室申込!D101,6,FIND("/",教室申込!D101,6)-6)),VALUE(MID(教室申込!D101,FIND("/",教室申込!D101,6)+1,2))),""))</f>
        <v/>
      </c>
    </row>
    <row r="268" spans="1:7">
      <c r="A268" s="1">
        <f>267</f>
        <v>267</v>
      </c>
      <c r="B268" s="1">
        <f>101</f>
        <v>101</v>
      </c>
      <c r="C268" s="1" t="str">
        <f>"段位認定"</f>
        <v>段位認定</v>
      </c>
      <c r="D268" s="1" t="str">
        <f>IF(教室申込!H101="","",IFERROR(MATCH(教室申込!H101,料金表!$G$6:$G$8,0),""))</f>
        <v/>
      </c>
      <c r="E268" s="1" t="str">
        <f>IF(D268="","",COUNT($D$2:D268))</f>
        <v/>
      </c>
      <c r="F268" s="1" t="str">
        <f>IF(COUNTA(教室申込!$C$4)=0,"",教室申込!$C$4)</f>
        <v/>
      </c>
      <c r="G268" s="1" t="str">
        <f>IF(教室申込!D101="","",IFERROR(DATE(VALUE(LEFT(教室申込!D101,4)),VALUE(MID(教室申込!D101,6,FIND("/",教室申込!D101,6)-6)),VALUE(MID(教室申込!D101,FIND("/",教室申込!D101,6)+1,2))),""))</f>
        <v/>
      </c>
    </row>
    <row r="269" spans="1:7">
      <c r="A269" s="1">
        <f>268</f>
        <v>268</v>
      </c>
      <c r="B269" s="1">
        <f>102</f>
        <v>102</v>
      </c>
      <c r="C269" s="1" t="str">
        <f>"珠算"</f>
        <v>珠算</v>
      </c>
      <c r="D269" s="1" t="str">
        <f>IF(教室申込!F102="","",IFERROR(VALUE(教室申込!F102),""))</f>
        <v/>
      </c>
      <c r="E269" s="1" t="str">
        <f>IF(D269="","",COUNT($D$2:D269))</f>
        <v/>
      </c>
      <c r="F269" s="1" t="str">
        <f>IF(COUNTA(教室申込!$C$4)=0,"",教室申込!$C$4)</f>
        <v/>
      </c>
      <c r="G269" s="1" t="str">
        <f>IF(教室申込!D102="","",IFERROR(DATE(VALUE(LEFT(教室申込!D102,4)),VALUE(MID(教室申込!D102,6,FIND("/",教室申込!D102,6)-6)),VALUE(MID(教室申込!D102,FIND("/",教室申込!D102,6)+1,2))),""))</f>
        <v/>
      </c>
    </row>
    <row r="270" spans="1:7">
      <c r="A270" s="1">
        <f>269</f>
        <v>269</v>
      </c>
      <c r="B270" s="1">
        <f>102</f>
        <v>102</v>
      </c>
      <c r="C270" s="1" t="str">
        <f>"暗算"</f>
        <v>暗算</v>
      </c>
      <c r="D270" s="1" t="str">
        <f>IF(教室申込!G102="","",IFERROR(VALUE(教室申込!G102),""))</f>
        <v/>
      </c>
      <c r="E270" s="1" t="str">
        <f>IF(D270="","",COUNT($D$2:D270))</f>
        <v/>
      </c>
      <c r="F270" s="1" t="str">
        <f>IF(COUNTA(教室申込!$C$4)=0,"",教室申込!$C$4)</f>
        <v/>
      </c>
      <c r="G270" s="1" t="str">
        <f>IF(教室申込!D102="","",IFERROR(DATE(VALUE(LEFT(教室申込!D102,4)),VALUE(MID(教室申込!D102,6,FIND("/",教室申込!D102,6)-6)),VALUE(MID(教室申込!D102,FIND("/",教室申込!D102,6)+1,2))),""))</f>
        <v/>
      </c>
    </row>
    <row r="271" spans="1:7">
      <c r="A271" s="1">
        <f>270</f>
        <v>270</v>
      </c>
      <c r="B271" s="1">
        <f>102</f>
        <v>102</v>
      </c>
      <c r="C271" s="1" t="str">
        <f>"段位認定"</f>
        <v>段位認定</v>
      </c>
      <c r="D271" s="1" t="str">
        <f>IF(教室申込!H102="","",IFERROR(MATCH(教室申込!H102,料金表!$G$6:$G$8,0),""))</f>
        <v/>
      </c>
      <c r="E271" s="1" t="str">
        <f>IF(D271="","",COUNT($D$2:D271))</f>
        <v/>
      </c>
      <c r="F271" s="1" t="str">
        <f>IF(COUNTA(教室申込!$C$4)=0,"",教室申込!$C$4)</f>
        <v/>
      </c>
      <c r="G271" s="1" t="str">
        <f>IF(教室申込!D102="","",IFERROR(DATE(VALUE(LEFT(教室申込!D102,4)),VALUE(MID(教室申込!D102,6,FIND("/",教室申込!D102,6)-6)),VALUE(MID(教室申込!D102,FIND("/",教室申込!D102,6)+1,2))),""))</f>
        <v/>
      </c>
    </row>
    <row r="272" spans="1:7">
      <c r="A272" s="1">
        <f>271</f>
        <v>271</v>
      </c>
      <c r="B272" s="1">
        <f>103</f>
        <v>103</v>
      </c>
      <c r="C272" s="1" t="str">
        <f>"珠算"</f>
        <v>珠算</v>
      </c>
      <c r="D272" s="1" t="str">
        <f>IF(教室申込!F103="","",IFERROR(VALUE(教室申込!F103),""))</f>
        <v/>
      </c>
      <c r="E272" s="1" t="str">
        <f>IF(D272="","",COUNT($D$2:D272))</f>
        <v/>
      </c>
      <c r="F272" s="1" t="str">
        <f>IF(COUNTA(教室申込!$C$4)=0,"",教室申込!$C$4)</f>
        <v/>
      </c>
      <c r="G272" s="1" t="str">
        <f>IF(教室申込!D103="","",IFERROR(DATE(VALUE(LEFT(教室申込!D103,4)),VALUE(MID(教室申込!D103,6,FIND("/",教室申込!D103,6)-6)),VALUE(MID(教室申込!D103,FIND("/",教室申込!D103,6)+1,2))),""))</f>
        <v/>
      </c>
    </row>
    <row r="273" spans="1:7">
      <c r="A273" s="1">
        <f>272</f>
        <v>272</v>
      </c>
      <c r="B273" s="1">
        <f>103</f>
        <v>103</v>
      </c>
      <c r="C273" s="1" t="str">
        <f>"暗算"</f>
        <v>暗算</v>
      </c>
      <c r="D273" s="1" t="str">
        <f>IF(教室申込!G103="","",IFERROR(VALUE(教室申込!G103),""))</f>
        <v/>
      </c>
      <c r="E273" s="1" t="str">
        <f>IF(D273="","",COUNT($D$2:D273))</f>
        <v/>
      </c>
      <c r="F273" s="1" t="str">
        <f>IF(COUNTA(教室申込!$C$4)=0,"",教室申込!$C$4)</f>
        <v/>
      </c>
      <c r="G273" s="1" t="str">
        <f>IF(教室申込!D103="","",IFERROR(DATE(VALUE(LEFT(教室申込!D103,4)),VALUE(MID(教室申込!D103,6,FIND("/",教室申込!D103,6)-6)),VALUE(MID(教室申込!D103,FIND("/",教室申込!D103,6)+1,2))),""))</f>
        <v/>
      </c>
    </row>
    <row r="274" spans="1:7">
      <c r="A274" s="1">
        <f>273</f>
        <v>273</v>
      </c>
      <c r="B274" s="1">
        <f>103</f>
        <v>103</v>
      </c>
      <c r="C274" s="1" t="str">
        <f>"段位認定"</f>
        <v>段位認定</v>
      </c>
      <c r="D274" s="1" t="str">
        <f>IF(教室申込!H103="","",IFERROR(MATCH(教室申込!H103,料金表!$G$6:$G$8,0),""))</f>
        <v/>
      </c>
      <c r="E274" s="1" t="str">
        <f>IF(D274="","",COUNT($D$2:D274))</f>
        <v/>
      </c>
      <c r="F274" s="1" t="str">
        <f>IF(COUNTA(教室申込!$C$4)=0,"",教室申込!$C$4)</f>
        <v/>
      </c>
      <c r="G274" s="1" t="str">
        <f>IF(教室申込!D103="","",IFERROR(DATE(VALUE(LEFT(教室申込!D103,4)),VALUE(MID(教室申込!D103,6,FIND("/",教室申込!D103,6)-6)),VALUE(MID(教室申込!D103,FIND("/",教室申込!D103,6)+1,2))),""))</f>
        <v/>
      </c>
    </row>
    <row r="275" spans="1:7">
      <c r="A275" s="1">
        <f>274</f>
        <v>274</v>
      </c>
      <c r="B275" s="1">
        <f>104</f>
        <v>104</v>
      </c>
      <c r="C275" s="1" t="str">
        <f>"珠算"</f>
        <v>珠算</v>
      </c>
      <c r="D275" s="1" t="str">
        <f>IF(教室申込!F104="","",IFERROR(VALUE(教室申込!F104),""))</f>
        <v/>
      </c>
      <c r="E275" s="1" t="str">
        <f>IF(D275="","",COUNT($D$2:D275))</f>
        <v/>
      </c>
      <c r="F275" s="1" t="str">
        <f>IF(COUNTA(教室申込!$C$4)=0,"",教室申込!$C$4)</f>
        <v/>
      </c>
      <c r="G275" s="1" t="str">
        <f>IF(教室申込!D104="","",IFERROR(DATE(VALUE(LEFT(教室申込!D104,4)),VALUE(MID(教室申込!D104,6,FIND("/",教室申込!D104,6)-6)),VALUE(MID(教室申込!D104,FIND("/",教室申込!D104,6)+1,2))),""))</f>
        <v/>
      </c>
    </row>
    <row r="276" spans="1:7">
      <c r="A276" s="1">
        <f>275</f>
        <v>275</v>
      </c>
      <c r="B276" s="1">
        <f>104</f>
        <v>104</v>
      </c>
      <c r="C276" s="1" t="str">
        <f>"暗算"</f>
        <v>暗算</v>
      </c>
      <c r="D276" s="1" t="str">
        <f>IF(教室申込!G104="","",IFERROR(VALUE(教室申込!G104),""))</f>
        <v/>
      </c>
      <c r="E276" s="1" t="str">
        <f>IF(D276="","",COUNT($D$2:D276))</f>
        <v/>
      </c>
      <c r="F276" s="1" t="str">
        <f>IF(COUNTA(教室申込!$C$4)=0,"",教室申込!$C$4)</f>
        <v/>
      </c>
      <c r="G276" s="1" t="str">
        <f>IF(教室申込!D104="","",IFERROR(DATE(VALUE(LEFT(教室申込!D104,4)),VALUE(MID(教室申込!D104,6,FIND("/",教室申込!D104,6)-6)),VALUE(MID(教室申込!D104,FIND("/",教室申込!D104,6)+1,2))),""))</f>
        <v/>
      </c>
    </row>
    <row r="277" spans="1:7">
      <c r="A277" s="1">
        <f>276</f>
        <v>276</v>
      </c>
      <c r="B277" s="1">
        <f>104</f>
        <v>104</v>
      </c>
      <c r="C277" s="1" t="str">
        <f>"段位認定"</f>
        <v>段位認定</v>
      </c>
      <c r="D277" s="1" t="str">
        <f>IF(教室申込!H104="","",IFERROR(MATCH(教室申込!H104,料金表!$G$6:$G$8,0),""))</f>
        <v/>
      </c>
      <c r="E277" s="1" t="str">
        <f>IF(D277="","",COUNT($D$2:D277))</f>
        <v/>
      </c>
      <c r="F277" s="1" t="str">
        <f>IF(COUNTA(教室申込!$C$4)=0,"",教室申込!$C$4)</f>
        <v/>
      </c>
      <c r="G277" s="1" t="str">
        <f>IF(教室申込!D104="","",IFERROR(DATE(VALUE(LEFT(教室申込!D104,4)),VALUE(MID(教室申込!D104,6,FIND("/",教室申込!D104,6)-6)),VALUE(MID(教室申込!D104,FIND("/",教室申込!D104,6)+1,2))),""))</f>
        <v/>
      </c>
    </row>
    <row r="278" spans="1:7">
      <c r="A278" s="1">
        <f>277</f>
        <v>277</v>
      </c>
      <c r="B278" s="1">
        <f>105</f>
        <v>105</v>
      </c>
      <c r="C278" s="1" t="str">
        <f>"珠算"</f>
        <v>珠算</v>
      </c>
      <c r="D278" s="1" t="str">
        <f>IF(教室申込!F105="","",IFERROR(VALUE(教室申込!F105),""))</f>
        <v/>
      </c>
      <c r="E278" s="1" t="str">
        <f>IF(D278="","",COUNT($D$2:D278))</f>
        <v/>
      </c>
      <c r="F278" s="1" t="str">
        <f>IF(COUNTA(教室申込!$C$4)=0,"",教室申込!$C$4)</f>
        <v/>
      </c>
      <c r="G278" s="1" t="str">
        <f>IF(教室申込!D105="","",IFERROR(DATE(VALUE(LEFT(教室申込!D105,4)),VALUE(MID(教室申込!D105,6,FIND("/",教室申込!D105,6)-6)),VALUE(MID(教室申込!D105,FIND("/",教室申込!D105,6)+1,2))),""))</f>
        <v/>
      </c>
    </row>
    <row r="279" spans="1:7">
      <c r="A279" s="1">
        <f>278</f>
        <v>278</v>
      </c>
      <c r="B279" s="1">
        <f>105</f>
        <v>105</v>
      </c>
      <c r="C279" s="1" t="str">
        <f>"暗算"</f>
        <v>暗算</v>
      </c>
      <c r="D279" s="1" t="str">
        <f>IF(教室申込!G105="","",IFERROR(VALUE(教室申込!G105),""))</f>
        <v/>
      </c>
      <c r="E279" s="1" t="str">
        <f>IF(D279="","",COUNT($D$2:D279))</f>
        <v/>
      </c>
      <c r="F279" s="1" t="str">
        <f>IF(COUNTA(教室申込!$C$4)=0,"",教室申込!$C$4)</f>
        <v/>
      </c>
      <c r="G279" s="1" t="str">
        <f>IF(教室申込!D105="","",IFERROR(DATE(VALUE(LEFT(教室申込!D105,4)),VALUE(MID(教室申込!D105,6,FIND("/",教室申込!D105,6)-6)),VALUE(MID(教室申込!D105,FIND("/",教室申込!D105,6)+1,2))),""))</f>
        <v/>
      </c>
    </row>
    <row r="280" spans="1:7">
      <c r="A280" s="1">
        <f>279</f>
        <v>279</v>
      </c>
      <c r="B280" s="1">
        <f>105</f>
        <v>105</v>
      </c>
      <c r="C280" s="1" t="str">
        <f>"段位認定"</f>
        <v>段位認定</v>
      </c>
      <c r="D280" s="1" t="str">
        <f>IF(教室申込!H105="","",IFERROR(MATCH(教室申込!H105,料金表!$G$6:$G$8,0),""))</f>
        <v/>
      </c>
      <c r="E280" s="1" t="str">
        <f>IF(D280="","",COUNT($D$2:D280))</f>
        <v/>
      </c>
      <c r="F280" s="1" t="str">
        <f>IF(COUNTA(教室申込!$C$4)=0,"",教室申込!$C$4)</f>
        <v/>
      </c>
      <c r="G280" s="1" t="str">
        <f>IF(教室申込!D105="","",IFERROR(DATE(VALUE(LEFT(教室申込!D105,4)),VALUE(MID(教室申込!D105,6,FIND("/",教室申込!D105,6)-6)),VALUE(MID(教室申込!D105,FIND("/",教室申込!D105,6)+1,2))),""))</f>
        <v/>
      </c>
    </row>
    <row r="281" spans="1:7">
      <c r="A281" s="1">
        <f>280</f>
        <v>280</v>
      </c>
      <c r="B281" s="1">
        <f>106</f>
        <v>106</v>
      </c>
      <c r="C281" s="1" t="str">
        <f>"珠算"</f>
        <v>珠算</v>
      </c>
      <c r="D281" s="1" t="str">
        <f>IF(教室申込!F106="","",IFERROR(VALUE(教室申込!F106),""))</f>
        <v/>
      </c>
      <c r="E281" s="1" t="str">
        <f>IF(D281="","",COUNT($D$2:D281))</f>
        <v/>
      </c>
      <c r="F281" s="1" t="str">
        <f>IF(COUNTA(教室申込!$C$4)=0,"",教室申込!$C$4)</f>
        <v/>
      </c>
      <c r="G281" s="1" t="str">
        <f>IF(教室申込!D106="","",IFERROR(DATE(VALUE(LEFT(教室申込!D106,4)),VALUE(MID(教室申込!D106,6,FIND("/",教室申込!D106,6)-6)),VALUE(MID(教室申込!D106,FIND("/",教室申込!D106,6)+1,2))),""))</f>
        <v/>
      </c>
    </row>
    <row r="282" spans="1:7">
      <c r="A282" s="1">
        <f>281</f>
        <v>281</v>
      </c>
      <c r="B282" s="1">
        <f>106</f>
        <v>106</v>
      </c>
      <c r="C282" s="1" t="str">
        <f>"暗算"</f>
        <v>暗算</v>
      </c>
      <c r="D282" s="1" t="str">
        <f>IF(教室申込!G106="","",IFERROR(VALUE(教室申込!G106),""))</f>
        <v/>
      </c>
      <c r="E282" s="1" t="str">
        <f>IF(D282="","",COUNT($D$2:D282))</f>
        <v/>
      </c>
      <c r="F282" s="1" t="str">
        <f>IF(COUNTA(教室申込!$C$4)=0,"",教室申込!$C$4)</f>
        <v/>
      </c>
      <c r="G282" s="1" t="str">
        <f>IF(教室申込!D106="","",IFERROR(DATE(VALUE(LEFT(教室申込!D106,4)),VALUE(MID(教室申込!D106,6,FIND("/",教室申込!D106,6)-6)),VALUE(MID(教室申込!D106,FIND("/",教室申込!D106,6)+1,2))),""))</f>
        <v/>
      </c>
    </row>
    <row r="283" spans="1:7">
      <c r="A283" s="1">
        <f>282</f>
        <v>282</v>
      </c>
      <c r="B283" s="1">
        <f>106</f>
        <v>106</v>
      </c>
      <c r="C283" s="1" t="str">
        <f>"段位認定"</f>
        <v>段位認定</v>
      </c>
      <c r="D283" s="1" t="str">
        <f>IF(教室申込!H106="","",IFERROR(MATCH(教室申込!H106,料金表!$G$6:$G$8,0),""))</f>
        <v/>
      </c>
      <c r="E283" s="1" t="str">
        <f>IF(D283="","",COUNT($D$2:D283))</f>
        <v/>
      </c>
      <c r="F283" s="1" t="str">
        <f>IF(COUNTA(教室申込!$C$4)=0,"",教室申込!$C$4)</f>
        <v/>
      </c>
      <c r="G283" s="1" t="str">
        <f>IF(教室申込!D106="","",IFERROR(DATE(VALUE(LEFT(教室申込!D106,4)),VALUE(MID(教室申込!D106,6,FIND("/",教室申込!D106,6)-6)),VALUE(MID(教室申込!D106,FIND("/",教室申込!D106,6)+1,2))),""))</f>
        <v/>
      </c>
    </row>
    <row r="284" spans="1:7">
      <c r="A284" s="1">
        <f>283</f>
        <v>283</v>
      </c>
      <c r="B284" s="1">
        <f>107</f>
        <v>107</v>
      </c>
      <c r="C284" s="1" t="str">
        <f>"珠算"</f>
        <v>珠算</v>
      </c>
      <c r="D284" s="1" t="str">
        <f>IF(教室申込!F107="","",IFERROR(VALUE(教室申込!F107),""))</f>
        <v/>
      </c>
      <c r="E284" s="1" t="str">
        <f>IF(D284="","",COUNT($D$2:D284))</f>
        <v/>
      </c>
      <c r="F284" s="1" t="str">
        <f>IF(COUNTA(教室申込!$C$4)=0,"",教室申込!$C$4)</f>
        <v/>
      </c>
      <c r="G284" s="1" t="str">
        <f>IF(教室申込!D107="","",IFERROR(DATE(VALUE(LEFT(教室申込!D107,4)),VALUE(MID(教室申込!D107,6,FIND("/",教室申込!D107,6)-6)),VALUE(MID(教室申込!D107,FIND("/",教室申込!D107,6)+1,2))),""))</f>
        <v/>
      </c>
    </row>
    <row r="285" spans="1:7">
      <c r="A285" s="1">
        <f>284</f>
        <v>284</v>
      </c>
      <c r="B285" s="1">
        <f>107</f>
        <v>107</v>
      </c>
      <c r="C285" s="1" t="str">
        <f>"暗算"</f>
        <v>暗算</v>
      </c>
      <c r="D285" s="1" t="str">
        <f>IF(教室申込!G107="","",IFERROR(VALUE(教室申込!G107),""))</f>
        <v/>
      </c>
      <c r="E285" s="1" t="str">
        <f>IF(D285="","",COUNT($D$2:D285))</f>
        <v/>
      </c>
      <c r="F285" s="1" t="str">
        <f>IF(COUNTA(教室申込!$C$4)=0,"",教室申込!$C$4)</f>
        <v/>
      </c>
      <c r="G285" s="1" t="str">
        <f>IF(教室申込!D107="","",IFERROR(DATE(VALUE(LEFT(教室申込!D107,4)),VALUE(MID(教室申込!D107,6,FIND("/",教室申込!D107,6)-6)),VALUE(MID(教室申込!D107,FIND("/",教室申込!D107,6)+1,2))),""))</f>
        <v/>
      </c>
    </row>
    <row r="286" spans="1:7">
      <c r="A286" s="1">
        <f>285</f>
        <v>285</v>
      </c>
      <c r="B286" s="1">
        <f>107</f>
        <v>107</v>
      </c>
      <c r="C286" s="1" t="str">
        <f>"段位認定"</f>
        <v>段位認定</v>
      </c>
      <c r="D286" s="1" t="str">
        <f>IF(教室申込!H107="","",IFERROR(MATCH(教室申込!H107,料金表!$G$6:$G$8,0),""))</f>
        <v/>
      </c>
      <c r="E286" s="1" t="str">
        <f>IF(D286="","",COUNT($D$2:D286))</f>
        <v/>
      </c>
      <c r="F286" s="1" t="str">
        <f>IF(COUNTA(教室申込!$C$4)=0,"",教室申込!$C$4)</f>
        <v/>
      </c>
      <c r="G286" s="1" t="str">
        <f>IF(教室申込!D107="","",IFERROR(DATE(VALUE(LEFT(教室申込!D107,4)),VALUE(MID(教室申込!D107,6,FIND("/",教室申込!D107,6)-6)),VALUE(MID(教室申込!D107,FIND("/",教室申込!D107,6)+1,2))),""))</f>
        <v/>
      </c>
    </row>
    <row r="287" spans="1:7">
      <c r="A287" s="1">
        <f>286</f>
        <v>286</v>
      </c>
      <c r="B287" s="1">
        <f>108</f>
        <v>108</v>
      </c>
      <c r="C287" s="1" t="str">
        <f>"珠算"</f>
        <v>珠算</v>
      </c>
      <c r="D287" s="1" t="str">
        <f>IF(教室申込!F108="","",IFERROR(VALUE(教室申込!F108),""))</f>
        <v/>
      </c>
      <c r="E287" s="1" t="str">
        <f>IF(D287="","",COUNT($D$2:D287))</f>
        <v/>
      </c>
      <c r="F287" s="1" t="str">
        <f>IF(COUNTA(教室申込!$C$4)=0,"",教室申込!$C$4)</f>
        <v/>
      </c>
      <c r="G287" s="1" t="str">
        <f>IF(教室申込!D108="","",IFERROR(DATE(VALUE(LEFT(教室申込!D108,4)),VALUE(MID(教室申込!D108,6,FIND("/",教室申込!D108,6)-6)),VALUE(MID(教室申込!D108,FIND("/",教室申込!D108,6)+1,2))),""))</f>
        <v/>
      </c>
    </row>
    <row r="288" spans="1:7">
      <c r="A288" s="1">
        <f>287</f>
        <v>287</v>
      </c>
      <c r="B288" s="1">
        <f>108</f>
        <v>108</v>
      </c>
      <c r="C288" s="1" t="str">
        <f>"暗算"</f>
        <v>暗算</v>
      </c>
      <c r="D288" s="1" t="str">
        <f>IF(教室申込!G108="","",IFERROR(VALUE(教室申込!G108),""))</f>
        <v/>
      </c>
      <c r="E288" s="1" t="str">
        <f>IF(D288="","",COUNT($D$2:D288))</f>
        <v/>
      </c>
      <c r="F288" s="1" t="str">
        <f>IF(COUNTA(教室申込!$C$4)=0,"",教室申込!$C$4)</f>
        <v/>
      </c>
      <c r="G288" s="1" t="str">
        <f>IF(教室申込!D108="","",IFERROR(DATE(VALUE(LEFT(教室申込!D108,4)),VALUE(MID(教室申込!D108,6,FIND("/",教室申込!D108,6)-6)),VALUE(MID(教室申込!D108,FIND("/",教室申込!D108,6)+1,2))),""))</f>
        <v/>
      </c>
    </row>
    <row r="289" spans="1:7">
      <c r="A289" s="1">
        <f>288</f>
        <v>288</v>
      </c>
      <c r="B289" s="1">
        <f>108</f>
        <v>108</v>
      </c>
      <c r="C289" s="1" t="str">
        <f>"段位認定"</f>
        <v>段位認定</v>
      </c>
      <c r="D289" s="1" t="str">
        <f>IF(教室申込!H108="","",IFERROR(MATCH(教室申込!H108,料金表!$G$6:$G$8,0),""))</f>
        <v/>
      </c>
      <c r="E289" s="1" t="str">
        <f>IF(D289="","",COUNT($D$2:D289))</f>
        <v/>
      </c>
      <c r="F289" s="1" t="str">
        <f>IF(COUNTA(教室申込!$C$4)=0,"",教室申込!$C$4)</f>
        <v/>
      </c>
      <c r="G289" s="1" t="str">
        <f>IF(教室申込!D108="","",IFERROR(DATE(VALUE(LEFT(教室申込!D108,4)),VALUE(MID(教室申込!D108,6,FIND("/",教室申込!D108,6)-6)),VALUE(MID(教室申込!D108,FIND("/",教室申込!D108,6)+1,2))),""))</f>
        <v/>
      </c>
    </row>
    <row r="290" spans="1:7">
      <c r="A290" s="1">
        <f>289</f>
        <v>289</v>
      </c>
      <c r="B290" s="1">
        <f>109</f>
        <v>109</v>
      </c>
      <c r="C290" s="1" t="str">
        <f>"珠算"</f>
        <v>珠算</v>
      </c>
      <c r="D290" s="1" t="str">
        <f>IF(教室申込!F109="","",IFERROR(VALUE(教室申込!F109),""))</f>
        <v/>
      </c>
      <c r="E290" s="1" t="str">
        <f>IF(D290="","",COUNT($D$2:D290))</f>
        <v/>
      </c>
      <c r="F290" s="1" t="str">
        <f>IF(COUNTA(教室申込!$C$4)=0,"",教室申込!$C$4)</f>
        <v/>
      </c>
      <c r="G290" s="1" t="str">
        <f>IF(教室申込!D109="","",IFERROR(DATE(VALUE(LEFT(教室申込!D109,4)),VALUE(MID(教室申込!D109,6,FIND("/",教室申込!D109,6)-6)),VALUE(MID(教室申込!D109,FIND("/",教室申込!D109,6)+1,2))),""))</f>
        <v/>
      </c>
    </row>
    <row r="291" spans="1:7">
      <c r="A291" s="1">
        <f>290</f>
        <v>290</v>
      </c>
      <c r="B291" s="1">
        <f>109</f>
        <v>109</v>
      </c>
      <c r="C291" s="1" t="str">
        <f>"暗算"</f>
        <v>暗算</v>
      </c>
      <c r="D291" s="1" t="str">
        <f>IF(教室申込!G109="","",IFERROR(VALUE(教室申込!G109),""))</f>
        <v/>
      </c>
      <c r="E291" s="1" t="str">
        <f>IF(D291="","",COUNT($D$2:D291))</f>
        <v/>
      </c>
      <c r="F291" s="1" t="str">
        <f>IF(COUNTA(教室申込!$C$4)=0,"",教室申込!$C$4)</f>
        <v/>
      </c>
      <c r="G291" s="1" t="str">
        <f>IF(教室申込!D109="","",IFERROR(DATE(VALUE(LEFT(教室申込!D109,4)),VALUE(MID(教室申込!D109,6,FIND("/",教室申込!D109,6)-6)),VALUE(MID(教室申込!D109,FIND("/",教室申込!D109,6)+1,2))),""))</f>
        <v/>
      </c>
    </row>
    <row r="292" spans="1:7">
      <c r="A292" s="1">
        <f>291</f>
        <v>291</v>
      </c>
      <c r="B292" s="1">
        <f>109</f>
        <v>109</v>
      </c>
      <c r="C292" s="1" t="str">
        <f>"段位認定"</f>
        <v>段位認定</v>
      </c>
      <c r="D292" s="1" t="str">
        <f>IF(教室申込!H109="","",IFERROR(MATCH(教室申込!H109,料金表!$G$6:$G$8,0),""))</f>
        <v/>
      </c>
      <c r="E292" s="1" t="str">
        <f>IF(D292="","",COUNT($D$2:D292))</f>
        <v/>
      </c>
      <c r="F292" s="1" t="str">
        <f>IF(COUNTA(教室申込!$C$4)=0,"",教室申込!$C$4)</f>
        <v/>
      </c>
      <c r="G292" s="1" t="str">
        <f>IF(教室申込!D109="","",IFERROR(DATE(VALUE(LEFT(教室申込!D109,4)),VALUE(MID(教室申込!D109,6,FIND("/",教室申込!D109,6)-6)),VALUE(MID(教室申込!D109,FIND("/",教室申込!D109,6)+1,2))),""))</f>
        <v/>
      </c>
    </row>
    <row r="293" spans="1:7">
      <c r="A293" s="1">
        <f>292</f>
        <v>292</v>
      </c>
      <c r="B293" s="1">
        <f>110</f>
        <v>110</v>
      </c>
      <c r="C293" s="1" t="str">
        <f>"珠算"</f>
        <v>珠算</v>
      </c>
      <c r="D293" s="1" t="str">
        <f>IF(教室申込!F110="","",IFERROR(VALUE(教室申込!F110),""))</f>
        <v/>
      </c>
      <c r="E293" s="1" t="str">
        <f>IF(D293="","",COUNT($D$2:D293))</f>
        <v/>
      </c>
      <c r="F293" s="1" t="str">
        <f>IF(COUNTA(教室申込!$C$4)=0,"",教室申込!$C$4)</f>
        <v/>
      </c>
      <c r="G293" s="1" t="str">
        <f>IF(教室申込!D110="","",IFERROR(DATE(VALUE(LEFT(教室申込!D110,4)),VALUE(MID(教室申込!D110,6,FIND("/",教室申込!D110,6)-6)),VALUE(MID(教室申込!D110,FIND("/",教室申込!D110,6)+1,2))),""))</f>
        <v/>
      </c>
    </row>
    <row r="294" spans="1:7">
      <c r="A294" s="1">
        <f>293</f>
        <v>293</v>
      </c>
      <c r="B294" s="1">
        <f>110</f>
        <v>110</v>
      </c>
      <c r="C294" s="1" t="str">
        <f>"暗算"</f>
        <v>暗算</v>
      </c>
      <c r="D294" s="1" t="str">
        <f>IF(教室申込!G110="","",IFERROR(VALUE(教室申込!G110),""))</f>
        <v/>
      </c>
      <c r="E294" s="1" t="str">
        <f>IF(D294="","",COUNT($D$2:D294))</f>
        <v/>
      </c>
      <c r="F294" s="1" t="str">
        <f>IF(COUNTA(教室申込!$C$4)=0,"",教室申込!$C$4)</f>
        <v/>
      </c>
      <c r="G294" s="1" t="str">
        <f>IF(教室申込!D110="","",IFERROR(DATE(VALUE(LEFT(教室申込!D110,4)),VALUE(MID(教室申込!D110,6,FIND("/",教室申込!D110,6)-6)),VALUE(MID(教室申込!D110,FIND("/",教室申込!D110,6)+1,2))),""))</f>
        <v/>
      </c>
    </row>
    <row r="295" spans="1:7">
      <c r="A295" s="1">
        <f>294</f>
        <v>294</v>
      </c>
      <c r="B295" s="1">
        <f>110</f>
        <v>110</v>
      </c>
      <c r="C295" s="1" t="str">
        <f>"段位認定"</f>
        <v>段位認定</v>
      </c>
      <c r="D295" s="1" t="str">
        <f>IF(教室申込!H110="","",IFERROR(MATCH(教室申込!H110,料金表!$G$6:$G$8,0),""))</f>
        <v/>
      </c>
      <c r="E295" s="1" t="str">
        <f>IF(D295="","",COUNT($D$2:D295))</f>
        <v/>
      </c>
      <c r="F295" s="1" t="str">
        <f>IF(COUNTA(教室申込!$C$4)=0,"",教室申込!$C$4)</f>
        <v/>
      </c>
      <c r="G295" s="1" t="str">
        <f>IF(教室申込!D110="","",IFERROR(DATE(VALUE(LEFT(教室申込!D110,4)),VALUE(MID(教室申込!D110,6,FIND("/",教室申込!D110,6)-6)),VALUE(MID(教室申込!D110,FIND("/",教室申込!D110,6)+1,2))),""))</f>
        <v/>
      </c>
    </row>
    <row r="296" spans="1:7">
      <c r="A296" s="1">
        <f>295</f>
        <v>295</v>
      </c>
      <c r="B296" s="1">
        <f>111</f>
        <v>111</v>
      </c>
      <c r="C296" s="1" t="str">
        <f>"珠算"</f>
        <v>珠算</v>
      </c>
      <c r="D296" s="1" t="str">
        <f>IF(教室申込!F111="","",IFERROR(VALUE(教室申込!F111),""))</f>
        <v/>
      </c>
      <c r="E296" s="1" t="str">
        <f>IF(D296="","",COUNT($D$2:D296))</f>
        <v/>
      </c>
      <c r="F296" s="1" t="str">
        <f>IF(COUNTA(教室申込!$C$4)=0,"",教室申込!$C$4)</f>
        <v/>
      </c>
      <c r="G296" s="1" t="str">
        <f>IF(教室申込!D111="","",IFERROR(DATE(VALUE(LEFT(教室申込!D111,4)),VALUE(MID(教室申込!D111,6,FIND("/",教室申込!D111,6)-6)),VALUE(MID(教室申込!D111,FIND("/",教室申込!D111,6)+1,2))),""))</f>
        <v/>
      </c>
    </row>
    <row r="297" spans="1:7">
      <c r="A297" s="1">
        <f>296</f>
        <v>296</v>
      </c>
      <c r="B297" s="1">
        <f>111</f>
        <v>111</v>
      </c>
      <c r="C297" s="1" t="str">
        <f>"暗算"</f>
        <v>暗算</v>
      </c>
      <c r="D297" s="1" t="str">
        <f>IF(教室申込!G111="","",IFERROR(VALUE(教室申込!G111),""))</f>
        <v/>
      </c>
      <c r="E297" s="1" t="str">
        <f>IF(D297="","",COUNT($D$2:D297))</f>
        <v/>
      </c>
      <c r="F297" s="1" t="str">
        <f>IF(COUNTA(教室申込!$C$4)=0,"",教室申込!$C$4)</f>
        <v/>
      </c>
      <c r="G297" s="1" t="str">
        <f>IF(教室申込!D111="","",IFERROR(DATE(VALUE(LEFT(教室申込!D111,4)),VALUE(MID(教室申込!D111,6,FIND("/",教室申込!D111,6)-6)),VALUE(MID(教室申込!D111,FIND("/",教室申込!D111,6)+1,2))),""))</f>
        <v/>
      </c>
    </row>
    <row r="298" spans="1:7">
      <c r="A298" s="1">
        <f>297</f>
        <v>297</v>
      </c>
      <c r="B298" s="1">
        <f>111</f>
        <v>111</v>
      </c>
      <c r="C298" s="1" t="str">
        <f>"段位認定"</f>
        <v>段位認定</v>
      </c>
      <c r="D298" s="1" t="str">
        <f>IF(教室申込!H111="","",IFERROR(MATCH(教室申込!H111,料金表!$G$6:$G$8,0),""))</f>
        <v/>
      </c>
      <c r="E298" s="1" t="str">
        <f>IF(D298="","",COUNT($D$2:D298))</f>
        <v/>
      </c>
      <c r="F298" s="1" t="str">
        <f>IF(COUNTA(教室申込!$C$4)=0,"",教室申込!$C$4)</f>
        <v/>
      </c>
      <c r="G298" s="1" t="str">
        <f>IF(教室申込!D111="","",IFERROR(DATE(VALUE(LEFT(教室申込!D111,4)),VALUE(MID(教室申込!D111,6,FIND("/",教室申込!D111,6)-6)),VALUE(MID(教室申込!D111,FIND("/",教室申込!D111,6)+1,2))),""))</f>
        <v/>
      </c>
    </row>
    <row r="299" spans="1:7">
      <c r="A299" s="1">
        <f>298</f>
        <v>298</v>
      </c>
      <c r="B299" s="1">
        <f>112</f>
        <v>112</v>
      </c>
      <c r="C299" s="1" t="str">
        <f>"珠算"</f>
        <v>珠算</v>
      </c>
      <c r="D299" s="1" t="str">
        <f>IF(教室申込!F112="","",IFERROR(VALUE(教室申込!F112),""))</f>
        <v/>
      </c>
      <c r="E299" s="1" t="str">
        <f>IF(D299="","",COUNT($D$2:D299))</f>
        <v/>
      </c>
      <c r="F299" s="1" t="str">
        <f>IF(COUNTA(教室申込!$C$4)=0,"",教室申込!$C$4)</f>
        <v/>
      </c>
      <c r="G299" s="1" t="str">
        <f>IF(教室申込!D112="","",IFERROR(DATE(VALUE(LEFT(教室申込!D112,4)),VALUE(MID(教室申込!D112,6,FIND("/",教室申込!D112,6)-6)),VALUE(MID(教室申込!D112,FIND("/",教室申込!D112,6)+1,2))),""))</f>
        <v/>
      </c>
    </row>
    <row r="300" spans="1:7">
      <c r="A300" s="1">
        <f>299</f>
        <v>299</v>
      </c>
      <c r="B300" s="1">
        <f>112</f>
        <v>112</v>
      </c>
      <c r="C300" s="1" t="str">
        <f>"暗算"</f>
        <v>暗算</v>
      </c>
      <c r="D300" s="1" t="str">
        <f>IF(教室申込!G112="","",IFERROR(VALUE(教室申込!G112),""))</f>
        <v/>
      </c>
      <c r="E300" s="1" t="str">
        <f>IF(D300="","",COUNT($D$2:D300))</f>
        <v/>
      </c>
      <c r="F300" s="1" t="str">
        <f>IF(COUNTA(教室申込!$C$4)=0,"",教室申込!$C$4)</f>
        <v/>
      </c>
      <c r="G300" s="1" t="str">
        <f>IF(教室申込!D112="","",IFERROR(DATE(VALUE(LEFT(教室申込!D112,4)),VALUE(MID(教室申込!D112,6,FIND("/",教室申込!D112,6)-6)),VALUE(MID(教室申込!D112,FIND("/",教室申込!D112,6)+1,2))),""))</f>
        <v/>
      </c>
    </row>
    <row r="301" spans="1:7">
      <c r="A301" s="1">
        <f>300</f>
        <v>300</v>
      </c>
      <c r="B301" s="1">
        <f>112</f>
        <v>112</v>
      </c>
      <c r="C301" s="1" t="str">
        <f>"段位認定"</f>
        <v>段位認定</v>
      </c>
      <c r="D301" s="1" t="str">
        <f>IF(教室申込!H112="","",IFERROR(MATCH(教室申込!H112,料金表!$G$6:$G$8,0),""))</f>
        <v/>
      </c>
      <c r="E301" s="1" t="str">
        <f>IF(D301="","",COUNT($D$2:D301))</f>
        <v/>
      </c>
      <c r="F301" s="1" t="str">
        <f>IF(COUNTA(教室申込!$C$4)=0,"",教室申込!$C$4)</f>
        <v/>
      </c>
      <c r="G301" s="1" t="str">
        <f>IF(教室申込!D112="","",IFERROR(DATE(VALUE(LEFT(教室申込!D112,4)),VALUE(MID(教室申込!D112,6,FIND("/",教室申込!D112,6)-6)),VALUE(MID(教室申込!D112,FIND("/",教室申込!D112,6)+1,2))),""))</f>
        <v/>
      </c>
    </row>
    <row r="302" spans="1:7">
      <c r="A302" s="1">
        <f>301</f>
        <v>301</v>
      </c>
      <c r="B302" s="1">
        <f>113</f>
        <v>113</v>
      </c>
      <c r="C302" s="1" t="str">
        <f>"珠算"</f>
        <v>珠算</v>
      </c>
      <c r="D302" s="1" t="str">
        <f>IF(教室申込!F113="","",IFERROR(VALUE(教室申込!F113),""))</f>
        <v/>
      </c>
      <c r="E302" s="1" t="str">
        <f>IF(D302="","",COUNT($D$2:D302))</f>
        <v/>
      </c>
      <c r="F302" s="1" t="str">
        <f>IF(COUNTA(教室申込!$C$4)=0,"",教室申込!$C$4)</f>
        <v/>
      </c>
      <c r="G302" s="1" t="str">
        <f>IF(教室申込!D113="","",IFERROR(DATE(VALUE(LEFT(教室申込!D113,4)),VALUE(MID(教室申込!D113,6,FIND("/",教室申込!D113,6)-6)),VALUE(MID(教室申込!D113,FIND("/",教室申込!D113,6)+1,2))),""))</f>
        <v/>
      </c>
    </row>
    <row r="303" spans="1:7">
      <c r="A303" s="1">
        <f>302</f>
        <v>302</v>
      </c>
      <c r="B303" s="1">
        <f>113</f>
        <v>113</v>
      </c>
      <c r="C303" s="1" t="str">
        <f>"暗算"</f>
        <v>暗算</v>
      </c>
      <c r="D303" s="1" t="str">
        <f>IF(教室申込!G113="","",IFERROR(VALUE(教室申込!G113),""))</f>
        <v/>
      </c>
      <c r="E303" s="1" t="str">
        <f>IF(D303="","",COUNT($D$2:D303))</f>
        <v/>
      </c>
      <c r="F303" s="1" t="str">
        <f>IF(COUNTA(教室申込!$C$4)=0,"",教室申込!$C$4)</f>
        <v/>
      </c>
      <c r="G303" s="1" t="str">
        <f>IF(教室申込!D113="","",IFERROR(DATE(VALUE(LEFT(教室申込!D113,4)),VALUE(MID(教室申込!D113,6,FIND("/",教室申込!D113,6)-6)),VALUE(MID(教室申込!D113,FIND("/",教室申込!D113,6)+1,2))),""))</f>
        <v/>
      </c>
    </row>
    <row r="304" spans="1:7">
      <c r="A304" s="1">
        <f>303</f>
        <v>303</v>
      </c>
      <c r="B304" s="1">
        <f>113</f>
        <v>113</v>
      </c>
      <c r="C304" s="1" t="str">
        <f>"段位認定"</f>
        <v>段位認定</v>
      </c>
      <c r="D304" s="1" t="str">
        <f>IF(教室申込!H113="","",IFERROR(MATCH(教室申込!H113,料金表!$G$6:$G$8,0),""))</f>
        <v/>
      </c>
      <c r="E304" s="1" t="str">
        <f>IF(D304="","",COUNT($D$2:D304))</f>
        <v/>
      </c>
      <c r="F304" s="1" t="str">
        <f>IF(COUNTA(教室申込!$C$4)=0,"",教室申込!$C$4)</f>
        <v/>
      </c>
      <c r="G304" s="1" t="str">
        <f>IF(教室申込!D113="","",IFERROR(DATE(VALUE(LEFT(教室申込!D113,4)),VALUE(MID(教室申込!D113,6,FIND("/",教室申込!D113,6)-6)),VALUE(MID(教室申込!D113,FIND("/",教室申込!D113,6)+1,2))),""))</f>
        <v/>
      </c>
    </row>
    <row r="305" spans="1:7">
      <c r="A305" s="1">
        <f>304</f>
        <v>304</v>
      </c>
      <c r="B305" s="1">
        <f>114</f>
        <v>114</v>
      </c>
      <c r="C305" s="1" t="str">
        <f>"珠算"</f>
        <v>珠算</v>
      </c>
      <c r="D305" s="1" t="str">
        <f>IF(教室申込!F114="","",IFERROR(VALUE(教室申込!F114),""))</f>
        <v/>
      </c>
      <c r="E305" s="1" t="str">
        <f>IF(D305="","",COUNT($D$2:D305))</f>
        <v/>
      </c>
      <c r="F305" s="1" t="str">
        <f>IF(COUNTA(教室申込!$C$4)=0,"",教室申込!$C$4)</f>
        <v/>
      </c>
      <c r="G305" s="1" t="str">
        <f>IF(教室申込!D114="","",IFERROR(DATE(VALUE(LEFT(教室申込!D114,4)),VALUE(MID(教室申込!D114,6,FIND("/",教室申込!D114,6)-6)),VALUE(MID(教室申込!D114,FIND("/",教室申込!D114,6)+1,2))),""))</f>
        <v/>
      </c>
    </row>
    <row r="306" spans="1:7">
      <c r="A306" s="1">
        <f>305</f>
        <v>305</v>
      </c>
      <c r="B306" s="1">
        <f>114</f>
        <v>114</v>
      </c>
      <c r="C306" s="1" t="str">
        <f>"暗算"</f>
        <v>暗算</v>
      </c>
      <c r="D306" s="1" t="str">
        <f>IF(教室申込!G114="","",IFERROR(VALUE(教室申込!G114),""))</f>
        <v/>
      </c>
      <c r="E306" s="1" t="str">
        <f>IF(D306="","",COUNT($D$2:D306))</f>
        <v/>
      </c>
      <c r="F306" s="1" t="str">
        <f>IF(COUNTA(教室申込!$C$4)=0,"",教室申込!$C$4)</f>
        <v/>
      </c>
      <c r="G306" s="1" t="str">
        <f>IF(教室申込!D114="","",IFERROR(DATE(VALUE(LEFT(教室申込!D114,4)),VALUE(MID(教室申込!D114,6,FIND("/",教室申込!D114,6)-6)),VALUE(MID(教室申込!D114,FIND("/",教室申込!D114,6)+1,2))),""))</f>
        <v/>
      </c>
    </row>
    <row r="307" spans="1:7">
      <c r="A307" s="1">
        <f>306</f>
        <v>306</v>
      </c>
      <c r="B307" s="1">
        <f>114</f>
        <v>114</v>
      </c>
      <c r="C307" s="1" t="str">
        <f>"段位認定"</f>
        <v>段位認定</v>
      </c>
      <c r="D307" s="1" t="str">
        <f>IF(教室申込!H114="","",IFERROR(MATCH(教室申込!H114,料金表!$G$6:$G$8,0),""))</f>
        <v/>
      </c>
      <c r="E307" s="1" t="str">
        <f>IF(D307="","",COUNT($D$2:D307))</f>
        <v/>
      </c>
      <c r="F307" s="1" t="str">
        <f>IF(COUNTA(教室申込!$C$4)=0,"",教室申込!$C$4)</f>
        <v/>
      </c>
      <c r="G307" s="1" t="str">
        <f>IF(教室申込!D114="","",IFERROR(DATE(VALUE(LEFT(教室申込!D114,4)),VALUE(MID(教室申込!D114,6,FIND("/",教室申込!D114,6)-6)),VALUE(MID(教室申込!D114,FIND("/",教室申込!D114,6)+1,2))),""))</f>
        <v/>
      </c>
    </row>
    <row r="308" spans="1:7">
      <c r="A308" s="1">
        <f>307</f>
        <v>307</v>
      </c>
      <c r="B308" s="1">
        <f>115</f>
        <v>115</v>
      </c>
      <c r="C308" s="1" t="str">
        <f>"珠算"</f>
        <v>珠算</v>
      </c>
      <c r="D308" s="1" t="str">
        <f>IF(教室申込!F115="","",IFERROR(VALUE(教室申込!F115),""))</f>
        <v/>
      </c>
      <c r="E308" s="1" t="str">
        <f>IF(D308="","",COUNT($D$2:D308))</f>
        <v/>
      </c>
      <c r="F308" s="1" t="str">
        <f>IF(COUNTA(教室申込!$C$4)=0,"",教室申込!$C$4)</f>
        <v/>
      </c>
      <c r="G308" s="1" t="str">
        <f>IF(教室申込!D115="","",IFERROR(DATE(VALUE(LEFT(教室申込!D115,4)),VALUE(MID(教室申込!D115,6,FIND("/",教室申込!D115,6)-6)),VALUE(MID(教室申込!D115,FIND("/",教室申込!D115,6)+1,2))),""))</f>
        <v/>
      </c>
    </row>
    <row r="309" spans="1:7">
      <c r="A309" s="1">
        <f>308</f>
        <v>308</v>
      </c>
      <c r="B309" s="1">
        <f>115</f>
        <v>115</v>
      </c>
      <c r="C309" s="1" t="str">
        <f>"暗算"</f>
        <v>暗算</v>
      </c>
      <c r="D309" s="1" t="str">
        <f>IF(教室申込!G115="","",IFERROR(VALUE(教室申込!G115),""))</f>
        <v/>
      </c>
      <c r="E309" s="1" t="str">
        <f>IF(D309="","",COUNT($D$2:D309))</f>
        <v/>
      </c>
      <c r="F309" s="1" t="str">
        <f>IF(COUNTA(教室申込!$C$4)=0,"",教室申込!$C$4)</f>
        <v/>
      </c>
      <c r="G309" s="1" t="str">
        <f>IF(教室申込!D115="","",IFERROR(DATE(VALUE(LEFT(教室申込!D115,4)),VALUE(MID(教室申込!D115,6,FIND("/",教室申込!D115,6)-6)),VALUE(MID(教室申込!D115,FIND("/",教室申込!D115,6)+1,2))),""))</f>
        <v/>
      </c>
    </row>
    <row r="310" spans="1:7">
      <c r="A310" s="1">
        <f>309</f>
        <v>309</v>
      </c>
      <c r="B310" s="1">
        <f>115</f>
        <v>115</v>
      </c>
      <c r="C310" s="1" t="str">
        <f>"段位認定"</f>
        <v>段位認定</v>
      </c>
      <c r="D310" s="1" t="str">
        <f>IF(教室申込!H115="","",IFERROR(MATCH(教室申込!H115,料金表!$G$6:$G$8,0),""))</f>
        <v/>
      </c>
      <c r="E310" s="1" t="str">
        <f>IF(D310="","",COUNT($D$2:D310))</f>
        <v/>
      </c>
      <c r="F310" s="1" t="str">
        <f>IF(COUNTA(教室申込!$C$4)=0,"",教室申込!$C$4)</f>
        <v/>
      </c>
      <c r="G310" s="1" t="str">
        <f>IF(教室申込!D115="","",IFERROR(DATE(VALUE(LEFT(教室申込!D115,4)),VALUE(MID(教室申込!D115,6,FIND("/",教室申込!D115,6)-6)),VALUE(MID(教室申込!D115,FIND("/",教室申込!D115,6)+1,2))),""))</f>
        <v/>
      </c>
    </row>
    <row r="311" spans="1:7">
      <c r="A311" s="1">
        <f>310</f>
        <v>310</v>
      </c>
      <c r="B311" s="1">
        <f>116</f>
        <v>116</v>
      </c>
      <c r="C311" s="1" t="str">
        <f>"珠算"</f>
        <v>珠算</v>
      </c>
      <c r="D311" s="1" t="str">
        <f>IF(教室申込!F116="","",IFERROR(VALUE(教室申込!F116),""))</f>
        <v/>
      </c>
      <c r="E311" s="1" t="str">
        <f>IF(D311="","",COUNT($D$2:D311))</f>
        <v/>
      </c>
      <c r="F311" s="1" t="str">
        <f>IF(COUNTA(教室申込!$C$4)=0,"",教室申込!$C$4)</f>
        <v/>
      </c>
      <c r="G311" s="1" t="str">
        <f>IF(教室申込!D116="","",IFERROR(DATE(VALUE(LEFT(教室申込!D116,4)),VALUE(MID(教室申込!D116,6,FIND("/",教室申込!D116,6)-6)),VALUE(MID(教室申込!D116,FIND("/",教室申込!D116,6)+1,2))),""))</f>
        <v/>
      </c>
    </row>
    <row r="312" spans="1:7">
      <c r="A312" s="1">
        <f>311</f>
        <v>311</v>
      </c>
      <c r="B312" s="1">
        <f>116</f>
        <v>116</v>
      </c>
      <c r="C312" s="1" t="str">
        <f>"暗算"</f>
        <v>暗算</v>
      </c>
      <c r="D312" s="1" t="str">
        <f>IF(教室申込!G116="","",IFERROR(VALUE(教室申込!G116),""))</f>
        <v/>
      </c>
      <c r="E312" s="1" t="str">
        <f>IF(D312="","",COUNT($D$2:D312))</f>
        <v/>
      </c>
      <c r="F312" s="1" t="str">
        <f>IF(COUNTA(教室申込!$C$4)=0,"",教室申込!$C$4)</f>
        <v/>
      </c>
      <c r="G312" s="1" t="str">
        <f>IF(教室申込!D116="","",IFERROR(DATE(VALUE(LEFT(教室申込!D116,4)),VALUE(MID(教室申込!D116,6,FIND("/",教室申込!D116,6)-6)),VALUE(MID(教室申込!D116,FIND("/",教室申込!D116,6)+1,2))),""))</f>
        <v/>
      </c>
    </row>
    <row r="313" spans="1:7">
      <c r="A313" s="1">
        <f>312</f>
        <v>312</v>
      </c>
      <c r="B313" s="1">
        <f>116</f>
        <v>116</v>
      </c>
      <c r="C313" s="1" t="str">
        <f>"段位認定"</f>
        <v>段位認定</v>
      </c>
      <c r="D313" s="1" t="str">
        <f>IF(教室申込!H116="","",IFERROR(MATCH(教室申込!H116,料金表!$G$6:$G$8,0),""))</f>
        <v/>
      </c>
      <c r="E313" s="1" t="str">
        <f>IF(D313="","",COUNT($D$2:D313))</f>
        <v/>
      </c>
      <c r="F313" s="1" t="str">
        <f>IF(COUNTA(教室申込!$C$4)=0,"",教室申込!$C$4)</f>
        <v/>
      </c>
      <c r="G313" s="1" t="str">
        <f>IF(教室申込!D116="","",IFERROR(DATE(VALUE(LEFT(教室申込!D116,4)),VALUE(MID(教室申込!D116,6,FIND("/",教室申込!D116,6)-6)),VALUE(MID(教室申込!D116,FIND("/",教室申込!D116,6)+1,2))),""))</f>
        <v/>
      </c>
    </row>
    <row r="314" spans="1:7">
      <c r="A314" s="1">
        <f>313</f>
        <v>313</v>
      </c>
      <c r="B314" s="1">
        <f>117</f>
        <v>117</v>
      </c>
      <c r="C314" s="1" t="str">
        <f>"珠算"</f>
        <v>珠算</v>
      </c>
      <c r="D314" s="1" t="str">
        <f>IF(教室申込!F117="","",IFERROR(VALUE(教室申込!F117),""))</f>
        <v/>
      </c>
      <c r="E314" s="1" t="str">
        <f>IF(D314="","",COUNT($D$2:D314))</f>
        <v/>
      </c>
      <c r="F314" s="1" t="str">
        <f>IF(COUNTA(教室申込!$C$4)=0,"",教室申込!$C$4)</f>
        <v/>
      </c>
      <c r="G314" s="1" t="str">
        <f>IF(教室申込!D117="","",IFERROR(DATE(VALUE(LEFT(教室申込!D117,4)),VALUE(MID(教室申込!D117,6,FIND("/",教室申込!D117,6)-6)),VALUE(MID(教室申込!D117,FIND("/",教室申込!D117,6)+1,2))),""))</f>
        <v/>
      </c>
    </row>
    <row r="315" spans="1:7">
      <c r="A315" s="1">
        <f>314</f>
        <v>314</v>
      </c>
      <c r="B315" s="1">
        <f>117</f>
        <v>117</v>
      </c>
      <c r="C315" s="1" t="str">
        <f>"暗算"</f>
        <v>暗算</v>
      </c>
      <c r="D315" s="1" t="str">
        <f>IF(教室申込!G117="","",IFERROR(VALUE(教室申込!G117),""))</f>
        <v/>
      </c>
      <c r="E315" s="1" t="str">
        <f>IF(D315="","",COUNT($D$2:D315))</f>
        <v/>
      </c>
      <c r="F315" s="1" t="str">
        <f>IF(COUNTA(教室申込!$C$4)=0,"",教室申込!$C$4)</f>
        <v/>
      </c>
      <c r="G315" s="1" t="str">
        <f>IF(教室申込!D117="","",IFERROR(DATE(VALUE(LEFT(教室申込!D117,4)),VALUE(MID(教室申込!D117,6,FIND("/",教室申込!D117,6)-6)),VALUE(MID(教室申込!D117,FIND("/",教室申込!D117,6)+1,2))),""))</f>
        <v/>
      </c>
    </row>
    <row r="316" spans="1:7">
      <c r="A316" s="1">
        <f>315</f>
        <v>315</v>
      </c>
      <c r="B316" s="1">
        <f>117</f>
        <v>117</v>
      </c>
      <c r="C316" s="1" t="str">
        <f>"段位認定"</f>
        <v>段位認定</v>
      </c>
      <c r="D316" s="1" t="str">
        <f>IF(教室申込!H117="","",IFERROR(MATCH(教室申込!H117,料金表!$G$6:$G$8,0),""))</f>
        <v/>
      </c>
      <c r="E316" s="1" t="str">
        <f>IF(D316="","",COUNT($D$2:D316))</f>
        <v/>
      </c>
      <c r="F316" s="1" t="str">
        <f>IF(COUNTA(教室申込!$C$4)=0,"",教室申込!$C$4)</f>
        <v/>
      </c>
      <c r="G316" s="1" t="str">
        <f>IF(教室申込!D117="","",IFERROR(DATE(VALUE(LEFT(教室申込!D117,4)),VALUE(MID(教室申込!D117,6,FIND("/",教室申込!D117,6)-6)),VALUE(MID(教室申込!D117,FIND("/",教室申込!D117,6)+1,2))),""))</f>
        <v/>
      </c>
    </row>
    <row r="317" spans="1:7">
      <c r="A317" s="1">
        <f>316</f>
        <v>316</v>
      </c>
      <c r="B317" s="1">
        <f>118</f>
        <v>118</v>
      </c>
      <c r="C317" s="1" t="str">
        <f>"珠算"</f>
        <v>珠算</v>
      </c>
      <c r="D317" s="1" t="str">
        <f>IF(教室申込!F118="","",IFERROR(VALUE(教室申込!F118),""))</f>
        <v/>
      </c>
      <c r="E317" s="1" t="str">
        <f>IF(D317="","",COUNT($D$2:D317))</f>
        <v/>
      </c>
      <c r="F317" s="1" t="str">
        <f>IF(COUNTA(教室申込!$C$4)=0,"",教室申込!$C$4)</f>
        <v/>
      </c>
      <c r="G317" s="1" t="str">
        <f>IF(教室申込!D118="","",IFERROR(DATE(VALUE(LEFT(教室申込!D118,4)),VALUE(MID(教室申込!D118,6,FIND("/",教室申込!D118,6)-6)),VALUE(MID(教室申込!D118,FIND("/",教室申込!D118,6)+1,2))),""))</f>
        <v/>
      </c>
    </row>
    <row r="318" spans="1:7">
      <c r="A318" s="1">
        <f>317</f>
        <v>317</v>
      </c>
      <c r="B318" s="1">
        <f>118</f>
        <v>118</v>
      </c>
      <c r="C318" s="1" t="str">
        <f>"暗算"</f>
        <v>暗算</v>
      </c>
      <c r="D318" s="1" t="str">
        <f>IF(教室申込!G118="","",IFERROR(VALUE(教室申込!G118),""))</f>
        <v/>
      </c>
      <c r="E318" s="1" t="str">
        <f>IF(D318="","",COUNT($D$2:D318))</f>
        <v/>
      </c>
      <c r="F318" s="1" t="str">
        <f>IF(COUNTA(教室申込!$C$4)=0,"",教室申込!$C$4)</f>
        <v/>
      </c>
      <c r="G318" s="1" t="str">
        <f>IF(教室申込!D118="","",IFERROR(DATE(VALUE(LEFT(教室申込!D118,4)),VALUE(MID(教室申込!D118,6,FIND("/",教室申込!D118,6)-6)),VALUE(MID(教室申込!D118,FIND("/",教室申込!D118,6)+1,2))),""))</f>
        <v/>
      </c>
    </row>
    <row r="319" spans="1:7">
      <c r="A319" s="1">
        <f>318</f>
        <v>318</v>
      </c>
      <c r="B319" s="1">
        <f>118</f>
        <v>118</v>
      </c>
      <c r="C319" s="1" t="str">
        <f>"段位認定"</f>
        <v>段位認定</v>
      </c>
      <c r="D319" s="1" t="str">
        <f>IF(教室申込!H118="","",IFERROR(MATCH(教室申込!H118,料金表!$G$6:$G$8,0),""))</f>
        <v/>
      </c>
      <c r="E319" s="1" t="str">
        <f>IF(D319="","",COUNT($D$2:D319))</f>
        <v/>
      </c>
      <c r="F319" s="1" t="str">
        <f>IF(COUNTA(教室申込!$C$4)=0,"",教室申込!$C$4)</f>
        <v/>
      </c>
      <c r="G319" s="1" t="str">
        <f>IF(教室申込!D118="","",IFERROR(DATE(VALUE(LEFT(教室申込!D118,4)),VALUE(MID(教室申込!D118,6,FIND("/",教室申込!D118,6)-6)),VALUE(MID(教室申込!D118,FIND("/",教室申込!D118,6)+1,2))),""))</f>
        <v/>
      </c>
    </row>
    <row r="320" spans="1:7">
      <c r="A320" s="1">
        <f>319</f>
        <v>319</v>
      </c>
      <c r="B320" s="1">
        <f>119</f>
        <v>119</v>
      </c>
      <c r="C320" s="1" t="str">
        <f>"珠算"</f>
        <v>珠算</v>
      </c>
      <c r="D320" s="1" t="str">
        <f>IF(教室申込!F119="","",IFERROR(VALUE(教室申込!F119),""))</f>
        <v/>
      </c>
      <c r="E320" s="1" t="str">
        <f>IF(D320="","",COUNT($D$2:D320))</f>
        <v/>
      </c>
      <c r="F320" s="1" t="str">
        <f>IF(COUNTA(教室申込!$C$4)=0,"",教室申込!$C$4)</f>
        <v/>
      </c>
      <c r="G320" s="1" t="str">
        <f>IF(教室申込!D119="","",IFERROR(DATE(VALUE(LEFT(教室申込!D119,4)),VALUE(MID(教室申込!D119,6,FIND("/",教室申込!D119,6)-6)),VALUE(MID(教室申込!D119,FIND("/",教室申込!D119,6)+1,2))),""))</f>
        <v/>
      </c>
    </row>
    <row r="321" spans="1:7">
      <c r="A321" s="1">
        <f>320</f>
        <v>320</v>
      </c>
      <c r="B321" s="1">
        <f>119</f>
        <v>119</v>
      </c>
      <c r="C321" s="1" t="str">
        <f>"暗算"</f>
        <v>暗算</v>
      </c>
      <c r="D321" s="1" t="str">
        <f>IF(教室申込!G119="","",IFERROR(VALUE(教室申込!G119),""))</f>
        <v/>
      </c>
      <c r="E321" s="1" t="str">
        <f>IF(D321="","",COUNT($D$2:D321))</f>
        <v/>
      </c>
      <c r="F321" s="1" t="str">
        <f>IF(COUNTA(教室申込!$C$4)=0,"",教室申込!$C$4)</f>
        <v/>
      </c>
      <c r="G321" s="1" t="str">
        <f>IF(教室申込!D119="","",IFERROR(DATE(VALUE(LEFT(教室申込!D119,4)),VALUE(MID(教室申込!D119,6,FIND("/",教室申込!D119,6)-6)),VALUE(MID(教室申込!D119,FIND("/",教室申込!D119,6)+1,2))),""))</f>
        <v/>
      </c>
    </row>
    <row r="322" spans="1:7">
      <c r="A322" s="1">
        <f>321</f>
        <v>321</v>
      </c>
      <c r="B322" s="1">
        <f>119</f>
        <v>119</v>
      </c>
      <c r="C322" s="1" t="str">
        <f>"段位認定"</f>
        <v>段位認定</v>
      </c>
      <c r="D322" s="1" t="str">
        <f>IF(教室申込!H119="","",IFERROR(MATCH(教室申込!H119,料金表!$G$6:$G$8,0),""))</f>
        <v/>
      </c>
      <c r="E322" s="1" t="str">
        <f>IF(D322="","",COUNT($D$2:D322))</f>
        <v/>
      </c>
      <c r="F322" s="1" t="str">
        <f>IF(COUNTA(教室申込!$C$4)=0,"",教室申込!$C$4)</f>
        <v/>
      </c>
      <c r="G322" s="1" t="str">
        <f>IF(教室申込!D119="","",IFERROR(DATE(VALUE(LEFT(教室申込!D119,4)),VALUE(MID(教室申込!D119,6,FIND("/",教室申込!D119,6)-6)),VALUE(MID(教室申込!D119,FIND("/",教室申込!D119,6)+1,2))),""))</f>
        <v/>
      </c>
    </row>
    <row r="323" spans="1:7">
      <c r="A323" s="1">
        <f>322</f>
        <v>322</v>
      </c>
      <c r="B323" s="1">
        <f>120</f>
        <v>120</v>
      </c>
      <c r="C323" s="1" t="str">
        <f>"珠算"</f>
        <v>珠算</v>
      </c>
      <c r="D323" s="1" t="str">
        <f>IF(教室申込!F120="","",IFERROR(VALUE(教室申込!F120),""))</f>
        <v/>
      </c>
      <c r="E323" s="1" t="str">
        <f>IF(D323="","",COUNT($D$2:D323))</f>
        <v/>
      </c>
      <c r="F323" s="1" t="str">
        <f>IF(COUNTA(教室申込!$C$4)=0,"",教室申込!$C$4)</f>
        <v/>
      </c>
      <c r="G323" s="1" t="str">
        <f>IF(教室申込!D120="","",IFERROR(DATE(VALUE(LEFT(教室申込!D120,4)),VALUE(MID(教室申込!D120,6,FIND("/",教室申込!D120,6)-6)),VALUE(MID(教室申込!D120,FIND("/",教室申込!D120,6)+1,2))),""))</f>
        <v/>
      </c>
    </row>
    <row r="324" spans="1:7">
      <c r="A324" s="1">
        <f>323</f>
        <v>323</v>
      </c>
      <c r="B324" s="1">
        <f>120</f>
        <v>120</v>
      </c>
      <c r="C324" s="1" t="str">
        <f>"暗算"</f>
        <v>暗算</v>
      </c>
      <c r="D324" s="1" t="str">
        <f>IF(教室申込!G120="","",IFERROR(VALUE(教室申込!G120),""))</f>
        <v/>
      </c>
      <c r="E324" s="1" t="str">
        <f>IF(D324="","",COUNT($D$2:D324))</f>
        <v/>
      </c>
      <c r="F324" s="1" t="str">
        <f>IF(COUNTA(教室申込!$C$4)=0,"",教室申込!$C$4)</f>
        <v/>
      </c>
      <c r="G324" s="1" t="str">
        <f>IF(教室申込!D120="","",IFERROR(DATE(VALUE(LEFT(教室申込!D120,4)),VALUE(MID(教室申込!D120,6,FIND("/",教室申込!D120,6)-6)),VALUE(MID(教室申込!D120,FIND("/",教室申込!D120,6)+1,2))),""))</f>
        <v/>
      </c>
    </row>
    <row r="325" spans="1:7">
      <c r="A325" s="1">
        <f>324</f>
        <v>324</v>
      </c>
      <c r="B325" s="1">
        <f>120</f>
        <v>120</v>
      </c>
      <c r="C325" s="1" t="str">
        <f>"段位認定"</f>
        <v>段位認定</v>
      </c>
      <c r="D325" s="1" t="str">
        <f>IF(教室申込!H120="","",IFERROR(MATCH(教室申込!H120,料金表!$G$6:$G$8,0),""))</f>
        <v/>
      </c>
      <c r="E325" s="1" t="str">
        <f>IF(D325="","",COUNT($D$2:D325))</f>
        <v/>
      </c>
      <c r="F325" s="1" t="str">
        <f>IF(COUNTA(教室申込!$C$4)=0,"",教室申込!$C$4)</f>
        <v/>
      </c>
      <c r="G325" s="1" t="str">
        <f>IF(教室申込!D120="","",IFERROR(DATE(VALUE(LEFT(教室申込!D120,4)),VALUE(MID(教室申込!D120,6,FIND("/",教室申込!D120,6)-6)),VALUE(MID(教室申込!D120,FIND("/",教室申込!D120,6)+1,2))),""))</f>
        <v/>
      </c>
    </row>
    <row r="326" spans="1:7">
      <c r="A326" s="1">
        <f>325</f>
        <v>325</v>
      </c>
      <c r="B326" s="1">
        <f>121</f>
        <v>121</v>
      </c>
      <c r="C326" s="1" t="str">
        <f>"珠算"</f>
        <v>珠算</v>
      </c>
      <c r="D326" s="1" t="str">
        <f>IF(教室申込!F121="","",IFERROR(VALUE(教室申込!F121),""))</f>
        <v/>
      </c>
      <c r="E326" s="1" t="str">
        <f>IF(D326="","",COUNT($D$2:D326))</f>
        <v/>
      </c>
      <c r="F326" s="1" t="str">
        <f>IF(COUNTA(教室申込!$C$4)=0,"",教室申込!$C$4)</f>
        <v/>
      </c>
      <c r="G326" s="1" t="str">
        <f>IF(教室申込!D121="","",IFERROR(DATE(VALUE(LEFT(教室申込!D121,4)),VALUE(MID(教室申込!D121,6,FIND("/",教室申込!D121,6)-6)),VALUE(MID(教室申込!D121,FIND("/",教室申込!D121,6)+1,2))),""))</f>
        <v/>
      </c>
    </row>
    <row r="327" spans="1:7">
      <c r="A327" s="1">
        <f>326</f>
        <v>326</v>
      </c>
      <c r="B327" s="1">
        <f>121</f>
        <v>121</v>
      </c>
      <c r="C327" s="1" t="str">
        <f>"暗算"</f>
        <v>暗算</v>
      </c>
      <c r="D327" s="1" t="str">
        <f>IF(教室申込!G121="","",IFERROR(VALUE(教室申込!G121),""))</f>
        <v/>
      </c>
      <c r="E327" s="1" t="str">
        <f>IF(D327="","",COUNT($D$2:D327))</f>
        <v/>
      </c>
      <c r="F327" s="1" t="str">
        <f>IF(COUNTA(教室申込!$C$4)=0,"",教室申込!$C$4)</f>
        <v/>
      </c>
      <c r="G327" s="1" t="str">
        <f>IF(教室申込!D121="","",IFERROR(DATE(VALUE(LEFT(教室申込!D121,4)),VALUE(MID(教室申込!D121,6,FIND("/",教室申込!D121,6)-6)),VALUE(MID(教室申込!D121,FIND("/",教室申込!D121,6)+1,2))),""))</f>
        <v/>
      </c>
    </row>
    <row r="328" spans="1:7">
      <c r="A328" s="1">
        <f>327</f>
        <v>327</v>
      </c>
      <c r="B328" s="1">
        <f>121</f>
        <v>121</v>
      </c>
      <c r="C328" s="1" t="str">
        <f>"段位認定"</f>
        <v>段位認定</v>
      </c>
      <c r="D328" s="1" t="str">
        <f>IF(教室申込!H121="","",IFERROR(MATCH(教室申込!H121,料金表!$G$6:$G$8,0),""))</f>
        <v/>
      </c>
      <c r="E328" s="1" t="str">
        <f>IF(D328="","",COUNT($D$2:D328))</f>
        <v/>
      </c>
      <c r="F328" s="1" t="str">
        <f>IF(COUNTA(教室申込!$C$4)=0,"",教室申込!$C$4)</f>
        <v/>
      </c>
      <c r="G328" s="1" t="str">
        <f>IF(教室申込!D121="","",IFERROR(DATE(VALUE(LEFT(教室申込!D121,4)),VALUE(MID(教室申込!D121,6,FIND("/",教室申込!D121,6)-6)),VALUE(MID(教室申込!D121,FIND("/",教室申込!D121,6)+1,2))),""))</f>
        <v/>
      </c>
    </row>
    <row r="329" spans="1:7">
      <c r="A329" s="1">
        <f>328</f>
        <v>328</v>
      </c>
      <c r="B329" s="1">
        <f>122</f>
        <v>122</v>
      </c>
      <c r="C329" s="1" t="str">
        <f>"珠算"</f>
        <v>珠算</v>
      </c>
      <c r="D329" s="1" t="str">
        <f>IF(教室申込!F122="","",IFERROR(VALUE(教室申込!F122),""))</f>
        <v/>
      </c>
      <c r="E329" s="1" t="str">
        <f>IF(D329="","",COUNT($D$2:D329))</f>
        <v/>
      </c>
      <c r="F329" s="1" t="str">
        <f>IF(COUNTA(教室申込!$C$4)=0,"",教室申込!$C$4)</f>
        <v/>
      </c>
      <c r="G329" s="1" t="str">
        <f>IF(教室申込!D122="","",IFERROR(DATE(VALUE(LEFT(教室申込!D122,4)),VALUE(MID(教室申込!D122,6,FIND("/",教室申込!D122,6)-6)),VALUE(MID(教室申込!D122,FIND("/",教室申込!D122,6)+1,2))),""))</f>
        <v/>
      </c>
    </row>
    <row r="330" spans="1:7">
      <c r="A330" s="1">
        <f>329</f>
        <v>329</v>
      </c>
      <c r="B330" s="1">
        <f>122</f>
        <v>122</v>
      </c>
      <c r="C330" s="1" t="str">
        <f>"暗算"</f>
        <v>暗算</v>
      </c>
      <c r="D330" s="1" t="str">
        <f>IF(教室申込!G122="","",IFERROR(VALUE(教室申込!G122),""))</f>
        <v/>
      </c>
      <c r="E330" s="1" t="str">
        <f>IF(D330="","",COUNT($D$2:D330))</f>
        <v/>
      </c>
      <c r="F330" s="1" t="str">
        <f>IF(COUNTA(教室申込!$C$4)=0,"",教室申込!$C$4)</f>
        <v/>
      </c>
      <c r="G330" s="1" t="str">
        <f>IF(教室申込!D122="","",IFERROR(DATE(VALUE(LEFT(教室申込!D122,4)),VALUE(MID(教室申込!D122,6,FIND("/",教室申込!D122,6)-6)),VALUE(MID(教室申込!D122,FIND("/",教室申込!D122,6)+1,2))),""))</f>
        <v/>
      </c>
    </row>
    <row r="331" spans="1:7">
      <c r="A331" s="1">
        <f>330</f>
        <v>330</v>
      </c>
      <c r="B331" s="1">
        <f>122</f>
        <v>122</v>
      </c>
      <c r="C331" s="1" t="str">
        <f>"段位認定"</f>
        <v>段位認定</v>
      </c>
      <c r="D331" s="1" t="str">
        <f>IF(教室申込!H122="","",IFERROR(MATCH(教室申込!H122,料金表!$G$6:$G$8,0),""))</f>
        <v/>
      </c>
      <c r="E331" s="1" t="str">
        <f>IF(D331="","",COUNT($D$2:D331))</f>
        <v/>
      </c>
      <c r="F331" s="1" t="str">
        <f>IF(COUNTA(教室申込!$C$4)=0,"",教室申込!$C$4)</f>
        <v/>
      </c>
      <c r="G331" s="1" t="str">
        <f>IF(教室申込!D122="","",IFERROR(DATE(VALUE(LEFT(教室申込!D122,4)),VALUE(MID(教室申込!D122,6,FIND("/",教室申込!D122,6)-6)),VALUE(MID(教室申込!D122,FIND("/",教室申込!D122,6)+1,2))),""))</f>
        <v/>
      </c>
    </row>
    <row r="332" spans="1:7">
      <c r="A332" s="1">
        <f>331</f>
        <v>331</v>
      </c>
      <c r="B332" s="1">
        <f>123</f>
        <v>123</v>
      </c>
      <c r="C332" s="1" t="str">
        <f>"珠算"</f>
        <v>珠算</v>
      </c>
      <c r="D332" s="1" t="str">
        <f>IF(教室申込!F123="","",IFERROR(VALUE(教室申込!F123),""))</f>
        <v/>
      </c>
      <c r="E332" s="1" t="str">
        <f>IF(D332="","",COUNT($D$2:D332))</f>
        <v/>
      </c>
      <c r="F332" s="1" t="str">
        <f>IF(COUNTA(教室申込!$C$4)=0,"",教室申込!$C$4)</f>
        <v/>
      </c>
      <c r="G332" s="1" t="str">
        <f>IF(教室申込!D123="","",IFERROR(DATE(VALUE(LEFT(教室申込!D123,4)),VALUE(MID(教室申込!D123,6,FIND("/",教室申込!D123,6)-6)),VALUE(MID(教室申込!D123,FIND("/",教室申込!D123,6)+1,2))),""))</f>
        <v/>
      </c>
    </row>
    <row r="333" spans="1:7">
      <c r="A333" s="1">
        <f>332</f>
        <v>332</v>
      </c>
      <c r="B333" s="1">
        <f>123</f>
        <v>123</v>
      </c>
      <c r="C333" s="1" t="str">
        <f>"暗算"</f>
        <v>暗算</v>
      </c>
      <c r="D333" s="1" t="str">
        <f>IF(教室申込!G123="","",IFERROR(VALUE(教室申込!G123),""))</f>
        <v/>
      </c>
      <c r="E333" s="1" t="str">
        <f>IF(D333="","",COUNT($D$2:D333))</f>
        <v/>
      </c>
      <c r="F333" s="1" t="str">
        <f>IF(COUNTA(教室申込!$C$4)=0,"",教室申込!$C$4)</f>
        <v/>
      </c>
      <c r="G333" s="1" t="str">
        <f>IF(教室申込!D123="","",IFERROR(DATE(VALUE(LEFT(教室申込!D123,4)),VALUE(MID(教室申込!D123,6,FIND("/",教室申込!D123,6)-6)),VALUE(MID(教室申込!D123,FIND("/",教室申込!D123,6)+1,2))),""))</f>
        <v/>
      </c>
    </row>
    <row r="334" spans="1:7">
      <c r="A334" s="1">
        <f>333</f>
        <v>333</v>
      </c>
      <c r="B334" s="1">
        <f>123</f>
        <v>123</v>
      </c>
      <c r="C334" s="1" t="str">
        <f>"段位認定"</f>
        <v>段位認定</v>
      </c>
      <c r="D334" s="1" t="str">
        <f>IF(教室申込!H123="","",IFERROR(MATCH(教室申込!H123,料金表!$G$6:$G$8,0),""))</f>
        <v/>
      </c>
      <c r="E334" s="1" t="str">
        <f>IF(D334="","",COUNT($D$2:D334))</f>
        <v/>
      </c>
      <c r="F334" s="1" t="str">
        <f>IF(COUNTA(教室申込!$C$4)=0,"",教室申込!$C$4)</f>
        <v/>
      </c>
      <c r="G334" s="1" t="str">
        <f>IF(教室申込!D123="","",IFERROR(DATE(VALUE(LEFT(教室申込!D123,4)),VALUE(MID(教室申込!D123,6,FIND("/",教室申込!D123,6)-6)),VALUE(MID(教室申込!D123,FIND("/",教室申込!D123,6)+1,2))),""))</f>
        <v/>
      </c>
    </row>
    <row r="335" spans="1:7">
      <c r="A335" s="1">
        <f>334</f>
        <v>334</v>
      </c>
      <c r="B335" s="1">
        <f>124</f>
        <v>124</v>
      </c>
      <c r="C335" s="1" t="str">
        <f>"珠算"</f>
        <v>珠算</v>
      </c>
      <c r="D335" s="1" t="str">
        <f>IF(教室申込!F124="","",IFERROR(VALUE(教室申込!F124),""))</f>
        <v/>
      </c>
      <c r="E335" s="1" t="str">
        <f>IF(D335="","",COUNT($D$2:D335))</f>
        <v/>
      </c>
      <c r="F335" s="1" t="str">
        <f>IF(COUNTA(教室申込!$C$4)=0,"",教室申込!$C$4)</f>
        <v/>
      </c>
      <c r="G335" s="1" t="str">
        <f>IF(教室申込!D124="","",IFERROR(DATE(VALUE(LEFT(教室申込!D124,4)),VALUE(MID(教室申込!D124,6,FIND("/",教室申込!D124,6)-6)),VALUE(MID(教室申込!D124,FIND("/",教室申込!D124,6)+1,2))),""))</f>
        <v/>
      </c>
    </row>
    <row r="336" spans="1:7">
      <c r="A336" s="1">
        <f>335</f>
        <v>335</v>
      </c>
      <c r="B336" s="1">
        <f>124</f>
        <v>124</v>
      </c>
      <c r="C336" s="1" t="str">
        <f>"暗算"</f>
        <v>暗算</v>
      </c>
      <c r="D336" s="1" t="str">
        <f>IF(教室申込!G124="","",IFERROR(VALUE(教室申込!G124),""))</f>
        <v/>
      </c>
      <c r="E336" s="1" t="str">
        <f>IF(D336="","",COUNT($D$2:D336))</f>
        <v/>
      </c>
      <c r="F336" s="1" t="str">
        <f>IF(COUNTA(教室申込!$C$4)=0,"",教室申込!$C$4)</f>
        <v/>
      </c>
      <c r="G336" s="1" t="str">
        <f>IF(教室申込!D124="","",IFERROR(DATE(VALUE(LEFT(教室申込!D124,4)),VALUE(MID(教室申込!D124,6,FIND("/",教室申込!D124,6)-6)),VALUE(MID(教室申込!D124,FIND("/",教室申込!D124,6)+1,2))),""))</f>
        <v/>
      </c>
    </row>
    <row r="337" spans="1:7">
      <c r="A337" s="1">
        <f>336</f>
        <v>336</v>
      </c>
      <c r="B337" s="1">
        <f>124</f>
        <v>124</v>
      </c>
      <c r="C337" s="1" t="str">
        <f>"段位認定"</f>
        <v>段位認定</v>
      </c>
      <c r="D337" s="1" t="str">
        <f>IF(教室申込!H124="","",IFERROR(MATCH(教室申込!H124,料金表!$G$6:$G$8,0),""))</f>
        <v/>
      </c>
      <c r="E337" s="1" t="str">
        <f>IF(D337="","",COUNT($D$2:D337))</f>
        <v/>
      </c>
      <c r="F337" s="1" t="str">
        <f>IF(COUNTA(教室申込!$C$4)=0,"",教室申込!$C$4)</f>
        <v/>
      </c>
      <c r="G337" s="1" t="str">
        <f>IF(教室申込!D124="","",IFERROR(DATE(VALUE(LEFT(教室申込!D124,4)),VALUE(MID(教室申込!D124,6,FIND("/",教室申込!D124,6)-6)),VALUE(MID(教室申込!D124,FIND("/",教室申込!D124,6)+1,2))),""))</f>
        <v/>
      </c>
    </row>
    <row r="338" spans="1:7">
      <c r="A338" s="1">
        <f>337</f>
        <v>337</v>
      </c>
      <c r="B338" s="1">
        <f>125</f>
        <v>125</v>
      </c>
      <c r="C338" s="1" t="str">
        <f>"珠算"</f>
        <v>珠算</v>
      </c>
      <c r="D338" s="1" t="str">
        <f>IF(教室申込!F125="","",IFERROR(VALUE(教室申込!F125),""))</f>
        <v/>
      </c>
      <c r="E338" s="1" t="str">
        <f>IF(D338="","",COUNT($D$2:D338))</f>
        <v/>
      </c>
      <c r="F338" s="1" t="str">
        <f>IF(COUNTA(教室申込!$C$4)=0,"",教室申込!$C$4)</f>
        <v/>
      </c>
      <c r="G338" s="1" t="str">
        <f>IF(教室申込!D125="","",IFERROR(DATE(VALUE(LEFT(教室申込!D125,4)),VALUE(MID(教室申込!D125,6,FIND("/",教室申込!D125,6)-6)),VALUE(MID(教室申込!D125,FIND("/",教室申込!D125,6)+1,2))),""))</f>
        <v/>
      </c>
    </row>
    <row r="339" spans="1:7">
      <c r="A339" s="1">
        <f>338</f>
        <v>338</v>
      </c>
      <c r="B339" s="1">
        <f>125</f>
        <v>125</v>
      </c>
      <c r="C339" s="1" t="str">
        <f>"暗算"</f>
        <v>暗算</v>
      </c>
      <c r="D339" s="1" t="str">
        <f>IF(教室申込!G125="","",IFERROR(VALUE(教室申込!G125),""))</f>
        <v/>
      </c>
      <c r="E339" s="1" t="str">
        <f>IF(D339="","",COUNT($D$2:D339))</f>
        <v/>
      </c>
      <c r="F339" s="1" t="str">
        <f>IF(COUNTA(教室申込!$C$4)=0,"",教室申込!$C$4)</f>
        <v/>
      </c>
      <c r="G339" s="1" t="str">
        <f>IF(教室申込!D125="","",IFERROR(DATE(VALUE(LEFT(教室申込!D125,4)),VALUE(MID(教室申込!D125,6,FIND("/",教室申込!D125,6)-6)),VALUE(MID(教室申込!D125,FIND("/",教室申込!D125,6)+1,2))),""))</f>
        <v/>
      </c>
    </row>
    <row r="340" spans="1:7">
      <c r="A340" s="1">
        <f>339</f>
        <v>339</v>
      </c>
      <c r="B340" s="1">
        <f>125</f>
        <v>125</v>
      </c>
      <c r="C340" s="1" t="str">
        <f>"段位認定"</f>
        <v>段位認定</v>
      </c>
      <c r="D340" s="1" t="str">
        <f>IF(教室申込!H125="","",IFERROR(MATCH(教室申込!H125,料金表!$G$6:$G$8,0),""))</f>
        <v/>
      </c>
      <c r="E340" s="1" t="str">
        <f>IF(D340="","",COUNT($D$2:D340))</f>
        <v/>
      </c>
      <c r="F340" s="1" t="str">
        <f>IF(COUNTA(教室申込!$C$4)=0,"",教室申込!$C$4)</f>
        <v/>
      </c>
      <c r="G340" s="1" t="str">
        <f>IF(教室申込!D125="","",IFERROR(DATE(VALUE(LEFT(教室申込!D125,4)),VALUE(MID(教室申込!D125,6,FIND("/",教室申込!D125,6)-6)),VALUE(MID(教室申込!D125,FIND("/",教室申込!D125,6)+1,2))),""))</f>
        <v/>
      </c>
    </row>
    <row r="341" spans="1:7">
      <c r="A341" s="1">
        <f>340</f>
        <v>340</v>
      </c>
      <c r="B341" s="1">
        <f>126</f>
        <v>126</v>
      </c>
      <c r="C341" s="1" t="str">
        <f>"珠算"</f>
        <v>珠算</v>
      </c>
      <c r="D341" s="1" t="str">
        <f>IF(教室申込!F126="","",IFERROR(VALUE(教室申込!F126),""))</f>
        <v/>
      </c>
      <c r="E341" s="1" t="str">
        <f>IF(D341="","",COUNT($D$2:D341))</f>
        <v/>
      </c>
      <c r="F341" s="1" t="str">
        <f>IF(COUNTA(教室申込!$C$4)=0,"",教室申込!$C$4)</f>
        <v/>
      </c>
      <c r="G341" s="1" t="str">
        <f>IF(教室申込!D126="","",IFERROR(DATE(VALUE(LEFT(教室申込!D126,4)),VALUE(MID(教室申込!D126,6,FIND("/",教室申込!D126,6)-6)),VALUE(MID(教室申込!D126,FIND("/",教室申込!D126,6)+1,2))),""))</f>
        <v/>
      </c>
    </row>
    <row r="342" spans="1:7">
      <c r="A342" s="1">
        <f>341</f>
        <v>341</v>
      </c>
      <c r="B342" s="1">
        <f>126</f>
        <v>126</v>
      </c>
      <c r="C342" s="1" t="str">
        <f>"暗算"</f>
        <v>暗算</v>
      </c>
      <c r="D342" s="1" t="str">
        <f>IF(教室申込!G126="","",IFERROR(VALUE(教室申込!G126),""))</f>
        <v/>
      </c>
      <c r="E342" s="1" t="str">
        <f>IF(D342="","",COUNT($D$2:D342))</f>
        <v/>
      </c>
      <c r="F342" s="1" t="str">
        <f>IF(COUNTA(教室申込!$C$4)=0,"",教室申込!$C$4)</f>
        <v/>
      </c>
      <c r="G342" s="1" t="str">
        <f>IF(教室申込!D126="","",IFERROR(DATE(VALUE(LEFT(教室申込!D126,4)),VALUE(MID(教室申込!D126,6,FIND("/",教室申込!D126,6)-6)),VALUE(MID(教室申込!D126,FIND("/",教室申込!D126,6)+1,2))),""))</f>
        <v/>
      </c>
    </row>
    <row r="343" spans="1:7">
      <c r="A343" s="1">
        <f>342</f>
        <v>342</v>
      </c>
      <c r="B343" s="1">
        <f>126</f>
        <v>126</v>
      </c>
      <c r="C343" s="1" t="str">
        <f>"段位認定"</f>
        <v>段位認定</v>
      </c>
      <c r="D343" s="1" t="str">
        <f>IF(教室申込!H126="","",IFERROR(MATCH(教室申込!H126,料金表!$G$6:$G$8,0),""))</f>
        <v/>
      </c>
      <c r="E343" s="1" t="str">
        <f>IF(D343="","",COUNT($D$2:D343))</f>
        <v/>
      </c>
      <c r="F343" s="1" t="str">
        <f>IF(COUNTA(教室申込!$C$4)=0,"",教室申込!$C$4)</f>
        <v/>
      </c>
      <c r="G343" s="1" t="str">
        <f>IF(教室申込!D126="","",IFERROR(DATE(VALUE(LEFT(教室申込!D126,4)),VALUE(MID(教室申込!D126,6,FIND("/",教室申込!D126,6)-6)),VALUE(MID(教室申込!D126,FIND("/",教室申込!D126,6)+1,2))),""))</f>
        <v/>
      </c>
    </row>
    <row r="344" spans="1:7">
      <c r="A344" s="1">
        <f>343</f>
        <v>343</v>
      </c>
      <c r="B344" s="1">
        <f>127</f>
        <v>127</v>
      </c>
      <c r="C344" s="1" t="str">
        <f>"珠算"</f>
        <v>珠算</v>
      </c>
      <c r="D344" s="1" t="str">
        <f>IF(教室申込!F127="","",IFERROR(VALUE(教室申込!F127),""))</f>
        <v/>
      </c>
      <c r="E344" s="1" t="str">
        <f>IF(D344="","",COUNT($D$2:D344))</f>
        <v/>
      </c>
      <c r="F344" s="1" t="str">
        <f>IF(COUNTA(教室申込!$C$4)=0,"",教室申込!$C$4)</f>
        <v/>
      </c>
      <c r="G344" s="1" t="str">
        <f>IF(教室申込!D127="","",IFERROR(DATE(VALUE(LEFT(教室申込!D127,4)),VALUE(MID(教室申込!D127,6,FIND("/",教室申込!D127,6)-6)),VALUE(MID(教室申込!D127,FIND("/",教室申込!D127,6)+1,2))),""))</f>
        <v/>
      </c>
    </row>
    <row r="345" spans="1:7">
      <c r="A345" s="1">
        <f>344</f>
        <v>344</v>
      </c>
      <c r="B345" s="1">
        <f>127</f>
        <v>127</v>
      </c>
      <c r="C345" s="1" t="str">
        <f>"暗算"</f>
        <v>暗算</v>
      </c>
      <c r="D345" s="1" t="str">
        <f>IF(教室申込!G127="","",IFERROR(VALUE(教室申込!G127),""))</f>
        <v/>
      </c>
      <c r="E345" s="1" t="str">
        <f>IF(D345="","",COUNT($D$2:D345))</f>
        <v/>
      </c>
      <c r="F345" s="1" t="str">
        <f>IF(COUNTA(教室申込!$C$4)=0,"",教室申込!$C$4)</f>
        <v/>
      </c>
      <c r="G345" s="1" t="str">
        <f>IF(教室申込!D127="","",IFERROR(DATE(VALUE(LEFT(教室申込!D127,4)),VALUE(MID(教室申込!D127,6,FIND("/",教室申込!D127,6)-6)),VALUE(MID(教室申込!D127,FIND("/",教室申込!D127,6)+1,2))),""))</f>
        <v/>
      </c>
    </row>
    <row r="346" spans="1:7">
      <c r="A346" s="1">
        <f>345</f>
        <v>345</v>
      </c>
      <c r="B346" s="1">
        <f>127</f>
        <v>127</v>
      </c>
      <c r="C346" s="1" t="str">
        <f>"段位認定"</f>
        <v>段位認定</v>
      </c>
      <c r="D346" s="1" t="str">
        <f>IF(教室申込!H127="","",IFERROR(MATCH(教室申込!H127,料金表!$G$6:$G$8,0),""))</f>
        <v/>
      </c>
      <c r="E346" s="1" t="str">
        <f>IF(D346="","",COUNT($D$2:D346))</f>
        <v/>
      </c>
      <c r="F346" s="1" t="str">
        <f>IF(COUNTA(教室申込!$C$4)=0,"",教室申込!$C$4)</f>
        <v/>
      </c>
      <c r="G346" s="1" t="str">
        <f>IF(教室申込!D127="","",IFERROR(DATE(VALUE(LEFT(教室申込!D127,4)),VALUE(MID(教室申込!D127,6,FIND("/",教室申込!D127,6)-6)),VALUE(MID(教室申込!D127,FIND("/",教室申込!D127,6)+1,2))),""))</f>
        <v/>
      </c>
    </row>
    <row r="347" spans="1:7">
      <c r="A347" s="1">
        <f>346</f>
        <v>346</v>
      </c>
      <c r="B347" s="1">
        <f>128</f>
        <v>128</v>
      </c>
      <c r="C347" s="1" t="str">
        <f>"珠算"</f>
        <v>珠算</v>
      </c>
      <c r="D347" s="1" t="str">
        <f>IF(教室申込!F128="","",IFERROR(VALUE(教室申込!F128),""))</f>
        <v/>
      </c>
      <c r="E347" s="1" t="str">
        <f>IF(D347="","",COUNT($D$2:D347))</f>
        <v/>
      </c>
      <c r="F347" s="1" t="str">
        <f>IF(COUNTA(教室申込!$C$4)=0,"",教室申込!$C$4)</f>
        <v/>
      </c>
      <c r="G347" s="1" t="str">
        <f>IF(教室申込!D128="","",IFERROR(DATE(VALUE(LEFT(教室申込!D128,4)),VALUE(MID(教室申込!D128,6,FIND("/",教室申込!D128,6)-6)),VALUE(MID(教室申込!D128,FIND("/",教室申込!D128,6)+1,2))),""))</f>
        <v/>
      </c>
    </row>
    <row r="348" spans="1:7">
      <c r="A348" s="1">
        <f>347</f>
        <v>347</v>
      </c>
      <c r="B348" s="1">
        <f>128</f>
        <v>128</v>
      </c>
      <c r="C348" s="1" t="str">
        <f>"暗算"</f>
        <v>暗算</v>
      </c>
      <c r="D348" s="1" t="str">
        <f>IF(教室申込!G128="","",IFERROR(VALUE(教室申込!G128),""))</f>
        <v/>
      </c>
      <c r="E348" s="1" t="str">
        <f>IF(D348="","",COUNT($D$2:D348))</f>
        <v/>
      </c>
      <c r="F348" s="1" t="str">
        <f>IF(COUNTA(教室申込!$C$4)=0,"",教室申込!$C$4)</f>
        <v/>
      </c>
      <c r="G348" s="1" t="str">
        <f>IF(教室申込!D128="","",IFERROR(DATE(VALUE(LEFT(教室申込!D128,4)),VALUE(MID(教室申込!D128,6,FIND("/",教室申込!D128,6)-6)),VALUE(MID(教室申込!D128,FIND("/",教室申込!D128,6)+1,2))),""))</f>
        <v/>
      </c>
    </row>
    <row r="349" spans="1:7">
      <c r="A349" s="1">
        <f>348</f>
        <v>348</v>
      </c>
      <c r="B349" s="1">
        <f>128</f>
        <v>128</v>
      </c>
      <c r="C349" s="1" t="str">
        <f>"段位認定"</f>
        <v>段位認定</v>
      </c>
      <c r="D349" s="1" t="str">
        <f>IF(教室申込!H128="","",IFERROR(MATCH(教室申込!H128,料金表!$G$6:$G$8,0),""))</f>
        <v/>
      </c>
      <c r="E349" s="1" t="str">
        <f>IF(D349="","",COUNT($D$2:D349))</f>
        <v/>
      </c>
      <c r="F349" s="1" t="str">
        <f>IF(COUNTA(教室申込!$C$4)=0,"",教室申込!$C$4)</f>
        <v/>
      </c>
      <c r="G349" s="1" t="str">
        <f>IF(教室申込!D128="","",IFERROR(DATE(VALUE(LEFT(教室申込!D128,4)),VALUE(MID(教室申込!D128,6,FIND("/",教室申込!D128,6)-6)),VALUE(MID(教室申込!D128,FIND("/",教室申込!D128,6)+1,2))),""))</f>
        <v/>
      </c>
    </row>
    <row r="350" spans="1:7">
      <c r="A350" s="1">
        <f>349</f>
        <v>349</v>
      </c>
      <c r="B350" s="1">
        <f>129</f>
        <v>129</v>
      </c>
      <c r="C350" s="1" t="str">
        <f>"珠算"</f>
        <v>珠算</v>
      </c>
      <c r="D350" s="1" t="str">
        <f>IF(教室申込!F129="","",IFERROR(VALUE(教室申込!F129),""))</f>
        <v/>
      </c>
      <c r="E350" s="1" t="str">
        <f>IF(D350="","",COUNT($D$2:D350))</f>
        <v/>
      </c>
      <c r="F350" s="1" t="str">
        <f>IF(COUNTA(教室申込!$C$4)=0,"",教室申込!$C$4)</f>
        <v/>
      </c>
      <c r="G350" s="1" t="str">
        <f>IF(教室申込!D129="","",IFERROR(DATE(VALUE(LEFT(教室申込!D129,4)),VALUE(MID(教室申込!D129,6,FIND("/",教室申込!D129,6)-6)),VALUE(MID(教室申込!D129,FIND("/",教室申込!D129,6)+1,2))),""))</f>
        <v/>
      </c>
    </row>
    <row r="351" spans="1:7">
      <c r="A351" s="1">
        <f>350</f>
        <v>350</v>
      </c>
      <c r="B351" s="1">
        <f>129</f>
        <v>129</v>
      </c>
      <c r="C351" s="1" t="str">
        <f>"暗算"</f>
        <v>暗算</v>
      </c>
      <c r="D351" s="1" t="str">
        <f>IF(教室申込!G129="","",IFERROR(VALUE(教室申込!G129),""))</f>
        <v/>
      </c>
      <c r="E351" s="1" t="str">
        <f>IF(D351="","",COUNT($D$2:D351))</f>
        <v/>
      </c>
      <c r="F351" s="1" t="str">
        <f>IF(COUNTA(教室申込!$C$4)=0,"",教室申込!$C$4)</f>
        <v/>
      </c>
      <c r="G351" s="1" t="str">
        <f>IF(教室申込!D129="","",IFERROR(DATE(VALUE(LEFT(教室申込!D129,4)),VALUE(MID(教室申込!D129,6,FIND("/",教室申込!D129,6)-6)),VALUE(MID(教室申込!D129,FIND("/",教室申込!D129,6)+1,2))),""))</f>
        <v/>
      </c>
    </row>
    <row r="352" spans="1:7">
      <c r="A352" s="1">
        <f>351</f>
        <v>351</v>
      </c>
      <c r="B352" s="1">
        <f>129</f>
        <v>129</v>
      </c>
      <c r="C352" s="1" t="str">
        <f>"段位認定"</f>
        <v>段位認定</v>
      </c>
      <c r="D352" s="1" t="str">
        <f>IF(教室申込!H129="","",IFERROR(MATCH(教室申込!H129,料金表!$G$6:$G$8,0),""))</f>
        <v/>
      </c>
      <c r="E352" s="1" t="str">
        <f>IF(D352="","",COUNT($D$2:D352))</f>
        <v/>
      </c>
      <c r="F352" s="1" t="str">
        <f>IF(COUNTA(教室申込!$C$4)=0,"",教室申込!$C$4)</f>
        <v/>
      </c>
      <c r="G352" s="1" t="str">
        <f>IF(教室申込!D129="","",IFERROR(DATE(VALUE(LEFT(教室申込!D129,4)),VALUE(MID(教室申込!D129,6,FIND("/",教室申込!D129,6)-6)),VALUE(MID(教室申込!D129,FIND("/",教室申込!D129,6)+1,2))),""))</f>
        <v/>
      </c>
    </row>
    <row r="353" spans="1:7">
      <c r="A353" s="1">
        <f>352</f>
        <v>352</v>
      </c>
      <c r="B353" s="1">
        <f>130</f>
        <v>130</v>
      </c>
      <c r="C353" s="1" t="str">
        <f>"珠算"</f>
        <v>珠算</v>
      </c>
      <c r="D353" s="1" t="str">
        <f>IF(教室申込!F130="","",IFERROR(VALUE(教室申込!F130),""))</f>
        <v/>
      </c>
      <c r="E353" s="1" t="str">
        <f>IF(D353="","",COUNT($D$2:D353))</f>
        <v/>
      </c>
      <c r="F353" s="1" t="str">
        <f>IF(COUNTA(教室申込!$C$4)=0,"",教室申込!$C$4)</f>
        <v/>
      </c>
      <c r="G353" s="1" t="str">
        <f>IF(教室申込!D130="","",IFERROR(DATE(VALUE(LEFT(教室申込!D130,4)),VALUE(MID(教室申込!D130,6,FIND("/",教室申込!D130,6)-6)),VALUE(MID(教室申込!D130,FIND("/",教室申込!D130,6)+1,2))),""))</f>
        <v/>
      </c>
    </row>
    <row r="354" spans="1:7">
      <c r="A354" s="1">
        <f>353</f>
        <v>353</v>
      </c>
      <c r="B354" s="1">
        <f>130</f>
        <v>130</v>
      </c>
      <c r="C354" s="1" t="str">
        <f>"暗算"</f>
        <v>暗算</v>
      </c>
      <c r="D354" s="1" t="str">
        <f>IF(教室申込!G130="","",IFERROR(VALUE(教室申込!G130),""))</f>
        <v/>
      </c>
      <c r="E354" s="1" t="str">
        <f>IF(D354="","",COUNT($D$2:D354))</f>
        <v/>
      </c>
      <c r="F354" s="1" t="str">
        <f>IF(COUNTA(教室申込!$C$4)=0,"",教室申込!$C$4)</f>
        <v/>
      </c>
      <c r="G354" s="1" t="str">
        <f>IF(教室申込!D130="","",IFERROR(DATE(VALUE(LEFT(教室申込!D130,4)),VALUE(MID(教室申込!D130,6,FIND("/",教室申込!D130,6)-6)),VALUE(MID(教室申込!D130,FIND("/",教室申込!D130,6)+1,2))),""))</f>
        <v/>
      </c>
    </row>
    <row r="355" spans="1:7">
      <c r="A355" s="1">
        <f>354</f>
        <v>354</v>
      </c>
      <c r="B355" s="1">
        <f>130</f>
        <v>130</v>
      </c>
      <c r="C355" s="1" t="str">
        <f>"段位認定"</f>
        <v>段位認定</v>
      </c>
      <c r="D355" s="1" t="str">
        <f>IF(教室申込!H130="","",IFERROR(MATCH(教室申込!H130,料金表!$G$6:$G$8,0),""))</f>
        <v/>
      </c>
      <c r="E355" s="1" t="str">
        <f>IF(D355="","",COUNT($D$2:D355))</f>
        <v/>
      </c>
      <c r="F355" s="1" t="str">
        <f>IF(COUNTA(教室申込!$C$4)=0,"",教室申込!$C$4)</f>
        <v/>
      </c>
      <c r="G355" s="1" t="str">
        <f>IF(教室申込!D130="","",IFERROR(DATE(VALUE(LEFT(教室申込!D130,4)),VALUE(MID(教室申込!D130,6,FIND("/",教室申込!D130,6)-6)),VALUE(MID(教室申込!D130,FIND("/",教室申込!D130,6)+1,2))),""))</f>
        <v/>
      </c>
    </row>
    <row r="356" spans="1:7">
      <c r="A356" s="1">
        <f>355</f>
        <v>355</v>
      </c>
      <c r="B356" s="1">
        <f>131</f>
        <v>131</v>
      </c>
      <c r="C356" s="1" t="str">
        <f>"珠算"</f>
        <v>珠算</v>
      </c>
      <c r="D356" s="1" t="str">
        <f>IF(教室申込!F131="","",IFERROR(VALUE(教室申込!F131),""))</f>
        <v/>
      </c>
      <c r="E356" s="1" t="str">
        <f>IF(D356="","",COUNT($D$2:D356))</f>
        <v/>
      </c>
      <c r="F356" s="1" t="str">
        <f>IF(COUNTA(教室申込!$C$4)=0,"",教室申込!$C$4)</f>
        <v/>
      </c>
      <c r="G356" s="1" t="str">
        <f>IF(教室申込!D131="","",IFERROR(DATE(VALUE(LEFT(教室申込!D131,4)),VALUE(MID(教室申込!D131,6,FIND("/",教室申込!D131,6)-6)),VALUE(MID(教室申込!D131,FIND("/",教室申込!D131,6)+1,2))),""))</f>
        <v/>
      </c>
    </row>
    <row r="357" spans="1:7">
      <c r="A357" s="1">
        <f>356</f>
        <v>356</v>
      </c>
      <c r="B357" s="1">
        <f>131</f>
        <v>131</v>
      </c>
      <c r="C357" s="1" t="str">
        <f>"暗算"</f>
        <v>暗算</v>
      </c>
      <c r="D357" s="1" t="str">
        <f>IF(教室申込!G131="","",IFERROR(VALUE(教室申込!G131),""))</f>
        <v/>
      </c>
      <c r="E357" s="1" t="str">
        <f>IF(D357="","",COUNT($D$2:D357))</f>
        <v/>
      </c>
      <c r="F357" s="1" t="str">
        <f>IF(COUNTA(教室申込!$C$4)=0,"",教室申込!$C$4)</f>
        <v/>
      </c>
      <c r="G357" s="1" t="str">
        <f>IF(教室申込!D131="","",IFERROR(DATE(VALUE(LEFT(教室申込!D131,4)),VALUE(MID(教室申込!D131,6,FIND("/",教室申込!D131,6)-6)),VALUE(MID(教室申込!D131,FIND("/",教室申込!D131,6)+1,2))),""))</f>
        <v/>
      </c>
    </row>
    <row r="358" spans="1:7">
      <c r="A358" s="1">
        <f>357</f>
        <v>357</v>
      </c>
      <c r="B358" s="1">
        <f>131</f>
        <v>131</v>
      </c>
      <c r="C358" s="1" t="str">
        <f>"段位認定"</f>
        <v>段位認定</v>
      </c>
      <c r="D358" s="1" t="str">
        <f>IF(教室申込!H131="","",IFERROR(MATCH(教室申込!H131,料金表!$G$6:$G$8,0),""))</f>
        <v/>
      </c>
      <c r="E358" s="1" t="str">
        <f>IF(D358="","",COUNT($D$2:D358))</f>
        <v/>
      </c>
      <c r="F358" s="1" t="str">
        <f>IF(COUNTA(教室申込!$C$4)=0,"",教室申込!$C$4)</f>
        <v/>
      </c>
      <c r="G358" s="1" t="str">
        <f>IF(教室申込!D131="","",IFERROR(DATE(VALUE(LEFT(教室申込!D131,4)),VALUE(MID(教室申込!D131,6,FIND("/",教室申込!D131,6)-6)),VALUE(MID(教室申込!D131,FIND("/",教室申込!D131,6)+1,2))),""))</f>
        <v/>
      </c>
    </row>
    <row r="359" spans="1:7">
      <c r="A359" s="1">
        <f>358</f>
        <v>358</v>
      </c>
      <c r="B359" s="1">
        <f>132</f>
        <v>132</v>
      </c>
      <c r="C359" s="1" t="str">
        <f>"珠算"</f>
        <v>珠算</v>
      </c>
      <c r="D359" s="1" t="str">
        <f>IF(教室申込!F132="","",IFERROR(VALUE(教室申込!F132),""))</f>
        <v/>
      </c>
      <c r="E359" s="1" t="str">
        <f>IF(D359="","",COUNT($D$2:D359))</f>
        <v/>
      </c>
      <c r="F359" s="1" t="str">
        <f>IF(COUNTA(教室申込!$C$4)=0,"",教室申込!$C$4)</f>
        <v/>
      </c>
      <c r="G359" s="1" t="str">
        <f>IF(教室申込!D132="","",IFERROR(DATE(VALUE(LEFT(教室申込!D132,4)),VALUE(MID(教室申込!D132,6,FIND("/",教室申込!D132,6)-6)),VALUE(MID(教室申込!D132,FIND("/",教室申込!D132,6)+1,2))),""))</f>
        <v/>
      </c>
    </row>
    <row r="360" spans="1:7">
      <c r="A360" s="1">
        <f>359</f>
        <v>359</v>
      </c>
      <c r="B360" s="1">
        <f>132</f>
        <v>132</v>
      </c>
      <c r="C360" s="1" t="str">
        <f>"暗算"</f>
        <v>暗算</v>
      </c>
      <c r="D360" s="1" t="str">
        <f>IF(教室申込!G132="","",IFERROR(VALUE(教室申込!G132),""))</f>
        <v/>
      </c>
      <c r="E360" s="1" t="str">
        <f>IF(D360="","",COUNT($D$2:D360))</f>
        <v/>
      </c>
      <c r="F360" s="1" t="str">
        <f>IF(COUNTA(教室申込!$C$4)=0,"",教室申込!$C$4)</f>
        <v/>
      </c>
      <c r="G360" s="1" t="str">
        <f>IF(教室申込!D132="","",IFERROR(DATE(VALUE(LEFT(教室申込!D132,4)),VALUE(MID(教室申込!D132,6,FIND("/",教室申込!D132,6)-6)),VALUE(MID(教室申込!D132,FIND("/",教室申込!D132,6)+1,2))),""))</f>
        <v/>
      </c>
    </row>
    <row r="361" spans="1:7">
      <c r="A361" s="1">
        <f>360</f>
        <v>360</v>
      </c>
      <c r="B361" s="1">
        <f>132</f>
        <v>132</v>
      </c>
      <c r="C361" s="1" t="str">
        <f>"段位認定"</f>
        <v>段位認定</v>
      </c>
      <c r="D361" s="1" t="str">
        <f>IF(教室申込!H132="","",IFERROR(MATCH(教室申込!H132,料金表!$G$6:$G$8,0),""))</f>
        <v/>
      </c>
      <c r="E361" s="1" t="str">
        <f>IF(D361="","",COUNT($D$2:D361))</f>
        <v/>
      </c>
      <c r="F361" s="1" t="str">
        <f>IF(COUNTA(教室申込!$C$4)=0,"",教室申込!$C$4)</f>
        <v/>
      </c>
      <c r="G361" s="1" t="str">
        <f>IF(教室申込!D132="","",IFERROR(DATE(VALUE(LEFT(教室申込!D132,4)),VALUE(MID(教室申込!D132,6,FIND("/",教室申込!D132,6)-6)),VALUE(MID(教室申込!D132,FIND("/",教室申込!D132,6)+1,2))),""))</f>
        <v/>
      </c>
    </row>
    <row r="362" spans="1:7">
      <c r="A362" s="1">
        <f>361</f>
        <v>361</v>
      </c>
      <c r="B362" s="1">
        <f>133</f>
        <v>133</v>
      </c>
      <c r="C362" s="1" t="str">
        <f>"珠算"</f>
        <v>珠算</v>
      </c>
      <c r="D362" s="1" t="str">
        <f>IF(教室申込!F133="","",IFERROR(VALUE(教室申込!F133),""))</f>
        <v/>
      </c>
      <c r="E362" s="1" t="str">
        <f>IF(D362="","",COUNT($D$2:D362))</f>
        <v/>
      </c>
      <c r="F362" s="1" t="str">
        <f>IF(COUNTA(教室申込!$C$4)=0,"",教室申込!$C$4)</f>
        <v/>
      </c>
      <c r="G362" s="1" t="str">
        <f>IF(教室申込!D133="","",IFERROR(DATE(VALUE(LEFT(教室申込!D133,4)),VALUE(MID(教室申込!D133,6,FIND("/",教室申込!D133,6)-6)),VALUE(MID(教室申込!D133,FIND("/",教室申込!D133,6)+1,2))),""))</f>
        <v/>
      </c>
    </row>
    <row r="363" spans="1:7">
      <c r="A363" s="1">
        <f>362</f>
        <v>362</v>
      </c>
      <c r="B363" s="1">
        <f>133</f>
        <v>133</v>
      </c>
      <c r="C363" s="1" t="str">
        <f>"暗算"</f>
        <v>暗算</v>
      </c>
      <c r="D363" s="1" t="str">
        <f>IF(教室申込!G133="","",IFERROR(VALUE(教室申込!G133),""))</f>
        <v/>
      </c>
      <c r="E363" s="1" t="str">
        <f>IF(D363="","",COUNT($D$2:D363))</f>
        <v/>
      </c>
      <c r="F363" s="1" t="str">
        <f>IF(COUNTA(教室申込!$C$4)=0,"",教室申込!$C$4)</f>
        <v/>
      </c>
      <c r="G363" s="1" t="str">
        <f>IF(教室申込!D133="","",IFERROR(DATE(VALUE(LEFT(教室申込!D133,4)),VALUE(MID(教室申込!D133,6,FIND("/",教室申込!D133,6)-6)),VALUE(MID(教室申込!D133,FIND("/",教室申込!D133,6)+1,2))),""))</f>
        <v/>
      </c>
    </row>
    <row r="364" spans="1:7">
      <c r="A364" s="1">
        <f>363</f>
        <v>363</v>
      </c>
      <c r="B364" s="1">
        <f>133</f>
        <v>133</v>
      </c>
      <c r="C364" s="1" t="str">
        <f>"段位認定"</f>
        <v>段位認定</v>
      </c>
      <c r="D364" s="1" t="str">
        <f>IF(教室申込!H133="","",IFERROR(MATCH(教室申込!H133,料金表!$G$6:$G$8,0),""))</f>
        <v/>
      </c>
      <c r="E364" s="1" t="str">
        <f>IF(D364="","",COUNT($D$2:D364))</f>
        <v/>
      </c>
      <c r="F364" s="1" t="str">
        <f>IF(COUNTA(教室申込!$C$4)=0,"",教室申込!$C$4)</f>
        <v/>
      </c>
      <c r="G364" s="1" t="str">
        <f>IF(教室申込!D133="","",IFERROR(DATE(VALUE(LEFT(教室申込!D133,4)),VALUE(MID(教室申込!D133,6,FIND("/",教室申込!D133,6)-6)),VALUE(MID(教室申込!D133,FIND("/",教室申込!D133,6)+1,2))),""))</f>
        <v/>
      </c>
    </row>
    <row r="365" spans="1:7">
      <c r="A365" s="1">
        <f>364</f>
        <v>364</v>
      </c>
      <c r="B365" s="1">
        <f>134</f>
        <v>134</v>
      </c>
      <c r="C365" s="1" t="str">
        <f>"珠算"</f>
        <v>珠算</v>
      </c>
      <c r="D365" s="1" t="str">
        <f>IF(教室申込!F134="","",IFERROR(VALUE(教室申込!F134),""))</f>
        <v/>
      </c>
      <c r="E365" s="1" t="str">
        <f>IF(D365="","",COUNT($D$2:D365))</f>
        <v/>
      </c>
      <c r="F365" s="1" t="str">
        <f>IF(COUNTA(教室申込!$C$4)=0,"",教室申込!$C$4)</f>
        <v/>
      </c>
      <c r="G365" s="1" t="str">
        <f>IF(教室申込!D134="","",IFERROR(DATE(VALUE(LEFT(教室申込!D134,4)),VALUE(MID(教室申込!D134,6,FIND("/",教室申込!D134,6)-6)),VALUE(MID(教室申込!D134,FIND("/",教室申込!D134,6)+1,2))),""))</f>
        <v/>
      </c>
    </row>
    <row r="366" spans="1:7">
      <c r="A366" s="1">
        <f>365</f>
        <v>365</v>
      </c>
      <c r="B366" s="1">
        <f>134</f>
        <v>134</v>
      </c>
      <c r="C366" s="1" t="str">
        <f>"暗算"</f>
        <v>暗算</v>
      </c>
      <c r="D366" s="1" t="str">
        <f>IF(教室申込!G134="","",IFERROR(VALUE(教室申込!G134),""))</f>
        <v/>
      </c>
      <c r="E366" s="1" t="str">
        <f>IF(D366="","",COUNT($D$2:D366))</f>
        <v/>
      </c>
      <c r="F366" s="1" t="str">
        <f>IF(COUNTA(教室申込!$C$4)=0,"",教室申込!$C$4)</f>
        <v/>
      </c>
      <c r="G366" s="1" t="str">
        <f>IF(教室申込!D134="","",IFERROR(DATE(VALUE(LEFT(教室申込!D134,4)),VALUE(MID(教室申込!D134,6,FIND("/",教室申込!D134,6)-6)),VALUE(MID(教室申込!D134,FIND("/",教室申込!D134,6)+1,2))),""))</f>
        <v/>
      </c>
    </row>
    <row r="367" spans="1:7">
      <c r="A367" s="1">
        <f>366</f>
        <v>366</v>
      </c>
      <c r="B367" s="1">
        <f>134</f>
        <v>134</v>
      </c>
      <c r="C367" s="1" t="str">
        <f>"段位認定"</f>
        <v>段位認定</v>
      </c>
      <c r="D367" s="1" t="str">
        <f>IF(教室申込!H134="","",IFERROR(MATCH(教室申込!H134,料金表!$G$6:$G$8,0),""))</f>
        <v/>
      </c>
      <c r="E367" s="1" t="str">
        <f>IF(D367="","",COUNT($D$2:D367))</f>
        <v/>
      </c>
      <c r="F367" s="1" t="str">
        <f>IF(COUNTA(教室申込!$C$4)=0,"",教室申込!$C$4)</f>
        <v/>
      </c>
      <c r="G367" s="1" t="str">
        <f>IF(教室申込!D134="","",IFERROR(DATE(VALUE(LEFT(教室申込!D134,4)),VALUE(MID(教室申込!D134,6,FIND("/",教室申込!D134,6)-6)),VALUE(MID(教室申込!D134,FIND("/",教室申込!D134,6)+1,2))),""))</f>
        <v/>
      </c>
    </row>
    <row r="368" spans="1:7">
      <c r="A368" s="1">
        <f>367</f>
        <v>367</v>
      </c>
      <c r="B368" s="1">
        <f>135</f>
        <v>135</v>
      </c>
      <c r="C368" s="1" t="str">
        <f>"珠算"</f>
        <v>珠算</v>
      </c>
      <c r="D368" s="1" t="str">
        <f>IF(教室申込!F135="","",IFERROR(VALUE(教室申込!F135),""))</f>
        <v/>
      </c>
      <c r="E368" s="1" t="str">
        <f>IF(D368="","",COUNT($D$2:D368))</f>
        <v/>
      </c>
      <c r="F368" s="1" t="str">
        <f>IF(COUNTA(教室申込!$C$4)=0,"",教室申込!$C$4)</f>
        <v/>
      </c>
      <c r="G368" s="1" t="str">
        <f>IF(教室申込!D135="","",IFERROR(DATE(VALUE(LEFT(教室申込!D135,4)),VALUE(MID(教室申込!D135,6,FIND("/",教室申込!D135,6)-6)),VALUE(MID(教室申込!D135,FIND("/",教室申込!D135,6)+1,2))),""))</f>
        <v/>
      </c>
    </row>
    <row r="369" spans="1:7">
      <c r="A369" s="1">
        <f>368</f>
        <v>368</v>
      </c>
      <c r="B369" s="1">
        <f>135</f>
        <v>135</v>
      </c>
      <c r="C369" s="1" t="str">
        <f>"暗算"</f>
        <v>暗算</v>
      </c>
      <c r="D369" s="1" t="str">
        <f>IF(教室申込!G135="","",IFERROR(VALUE(教室申込!G135),""))</f>
        <v/>
      </c>
      <c r="E369" s="1" t="str">
        <f>IF(D369="","",COUNT($D$2:D369))</f>
        <v/>
      </c>
      <c r="F369" s="1" t="str">
        <f>IF(COUNTA(教室申込!$C$4)=0,"",教室申込!$C$4)</f>
        <v/>
      </c>
      <c r="G369" s="1" t="str">
        <f>IF(教室申込!D135="","",IFERROR(DATE(VALUE(LEFT(教室申込!D135,4)),VALUE(MID(教室申込!D135,6,FIND("/",教室申込!D135,6)-6)),VALUE(MID(教室申込!D135,FIND("/",教室申込!D135,6)+1,2))),""))</f>
        <v/>
      </c>
    </row>
    <row r="370" spans="1:7">
      <c r="A370" s="1">
        <f>369</f>
        <v>369</v>
      </c>
      <c r="B370" s="1">
        <f>135</f>
        <v>135</v>
      </c>
      <c r="C370" s="1" t="str">
        <f>"段位認定"</f>
        <v>段位認定</v>
      </c>
      <c r="D370" s="1" t="str">
        <f>IF(教室申込!H135="","",IFERROR(MATCH(教室申込!H135,料金表!$G$6:$G$8,0),""))</f>
        <v/>
      </c>
      <c r="E370" s="1" t="str">
        <f>IF(D370="","",COUNT($D$2:D370))</f>
        <v/>
      </c>
      <c r="F370" s="1" t="str">
        <f>IF(COUNTA(教室申込!$C$4)=0,"",教室申込!$C$4)</f>
        <v/>
      </c>
      <c r="G370" s="1" t="str">
        <f>IF(教室申込!D135="","",IFERROR(DATE(VALUE(LEFT(教室申込!D135,4)),VALUE(MID(教室申込!D135,6,FIND("/",教室申込!D135,6)-6)),VALUE(MID(教室申込!D135,FIND("/",教室申込!D135,6)+1,2))),""))</f>
        <v/>
      </c>
    </row>
    <row r="371" spans="1:7">
      <c r="A371" s="1">
        <f>370</f>
        <v>370</v>
      </c>
      <c r="B371" s="1">
        <f>136</f>
        <v>136</v>
      </c>
      <c r="C371" s="1" t="str">
        <f>"珠算"</f>
        <v>珠算</v>
      </c>
      <c r="D371" s="1" t="str">
        <f>IF(教室申込!F136="","",IFERROR(VALUE(教室申込!F136),""))</f>
        <v/>
      </c>
      <c r="E371" s="1" t="str">
        <f>IF(D371="","",COUNT($D$2:D371))</f>
        <v/>
      </c>
      <c r="F371" s="1" t="str">
        <f>IF(COUNTA(教室申込!$C$4)=0,"",教室申込!$C$4)</f>
        <v/>
      </c>
      <c r="G371" s="1" t="str">
        <f>IF(教室申込!D136="","",IFERROR(DATE(VALUE(LEFT(教室申込!D136,4)),VALUE(MID(教室申込!D136,6,FIND("/",教室申込!D136,6)-6)),VALUE(MID(教室申込!D136,FIND("/",教室申込!D136,6)+1,2))),""))</f>
        <v/>
      </c>
    </row>
    <row r="372" spans="1:7">
      <c r="A372" s="1">
        <f>371</f>
        <v>371</v>
      </c>
      <c r="B372" s="1">
        <f>136</f>
        <v>136</v>
      </c>
      <c r="C372" s="1" t="str">
        <f>"暗算"</f>
        <v>暗算</v>
      </c>
      <c r="D372" s="1" t="str">
        <f>IF(教室申込!G136="","",IFERROR(VALUE(教室申込!G136),""))</f>
        <v/>
      </c>
      <c r="E372" s="1" t="str">
        <f>IF(D372="","",COUNT($D$2:D372))</f>
        <v/>
      </c>
      <c r="F372" s="1" t="str">
        <f>IF(COUNTA(教室申込!$C$4)=0,"",教室申込!$C$4)</f>
        <v/>
      </c>
      <c r="G372" s="1" t="str">
        <f>IF(教室申込!D136="","",IFERROR(DATE(VALUE(LEFT(教室申込!D136,4)),VALUE(MID(教室申込!D136,6,FIND("/",教室申込!D136,6)-6)),VALUE(MID(教室申込!D136,FIND("/",教室申込!D136,6)+1,2))),""))</f>
        <v/>
      </c>
    </row>
    <row r="373" spans="1:7">
      <c r="A373" s="1">
        <f>372</f>
        <v>372</v>
      </c>
      <c r="B373" s="1">
        <f>136</f>
        <v>136</v>
      </c>
      <c r="C373" s="1" t="str">
        <f>"段位認定"</f>
        <v>段位認定</v>
      </c>
      <c r="D373" s="1" t="str">
        <f>IF(教室申込!H136="","",IFERROR(MATCH(教室申込!H136,料金表!$G$6:$G$8,0),""))</f>
        <v/>
      </c>
      <c r="E373" s="1" t="str">
        <f>IF(D373="","",COUNT($D$2:D373))</f>
        <v/>
      </c>
      <c r="F373" s="1" t="str">
        <f>IF(COUNTA(教室申込!$C$4)=0,"",教室申込!$C$4)</f>
        <v/>
      </c>
      <c r="G373" s="1" t="str">
        <f>IF(教室申込!D136="","",IFERROR(DATE(VALUE(LEFT(教室申込!D136,4)),VALUE(MID(教室申込!D136,6,FIND("/",教室申込!D136,6)-6)),VALUE(MID(教室申込!D136,FIND("/",教室申込!D136,6)+1,2))),""))</f>
        <v/>
      </c>
    </row>
    <row r="374" spans="1:7">
      <c r="A374" s="1">
        <f>373</f>
        <v>373</v>
      </c>
      <c r="B374" s="1">
        <f>137</f>
        <v>137</v>
      </c>
      <c r="C374" s="1" t="str">
        <f>"珠算"</f>
        <v>珠算</v>
      </c>
      <c r="D374" s="1" t="str">
        <f>IF(教室申込!F137="","",IFERROR(VALUE(教室申込!F137),""))</f>
        <v/>
      </c>
      <c r="E374" s="1" t="str">
        <f>IF(D374="","",COUNT($D$2:D374))</f>
        <v/>
      </c>
      <c r="F374" s="1" t="str">
        <f>IF(COUNTA(教室申込!$C$4)=0,"",教室申込!$C$4)</f>
        <v/>
      </c>
      <c r="G374" s="1" t="str">
        <f>IF(教室申込!D137="","",IFERROR(DATE(VALUE(LEFT(教室申込!D137,4)),VALUE(MID(教室申込!D137,6,FIND("/",教室申込!D137,6)-6)),VALUE(MID(教室申込!D137,FIND("/",教室申込!D137,6)+1,2))),""))</f>
        <v/>
      </c>
    </row>
    <row r="375" spans="1:7">
      <c r="A375" s="1">
        <f>374</f>
        <v>374</v>
      </c>
      <c r="B375" s="1">
        <f>137</f>
        <v>137</v>
      </c>
      <c r="C375" s="1" t="str">
        <f>"暗算"</f>
        <v>暗算</v>
      </c>
      <c r="D375" s="1" t="str">
        <f>IF(教室申込!G137="","",IFERROR(VALUE(教室申込!G137),""))</f>
        <v/>
      </c>
      <c r="E375" s="1" t="str">
        <f>IF(D375="","",COUNT($D$2:D375))</f>
        <v/>
      </c>
      <c r="F375" s="1" t="str">
        <f>IF(COUNTA(教室申込!$C$4)=0,"",教室申込!$C$4)</f>
        <v/>
      </c>
      <c r="G375" s="1" t="str">
        <f>IF(教室申込!D137="","",IFERROR(DATE(VALUE(LEFT(教室申込!D137,4)),VALUE(MID(教室申込!D137,6,FIND("/",教室申込!D137,6)-6)),VALUE(MID(教室申込!D137,FIND("/",教室申込!D137,6)+1,2))),""))</f>
        <v/>
      </c>
    </row>
    <row r="376" spans="1:7">
      <c r="A376" s="1">
        <f>375</f>
        <v>375</v>
      </c>
      <c r="B376" s="1">
        <f>137</f>
        <v>137</v>
      </c>
      <c r="C376" s="1" t="str">
        <f>"段位認定"</f>
        <v>段位認定</v>
      </c>
      <c r="D376" s="1" t="str">
        <f>IF(教室申込!H137="","",IFERROR(MATCH(教室申込!H137,料金表!$G$6:$G$8,0),""))</f>
        <v/>
      </c>
      <c r="E376" s="1" t="str">
        <f>IF(D376="","",COUNT($D$2:D376))</f>
        <v/>
      </c>
      <c r="F376" s="1" t="str">
        <f>IF(COUNTA(教室申込!$C$4)=0,"",教室申込!$C$4)</f>
        <v/>
      </c>
      <c r="G376" s="1" t="str">
        <f>IF(教室申込!D137="","",IFERROR(DATE(VALUE(LEFT(教室申込!D137,4)),VALUE(MID(教室申込!D137,6,FIND("/",教室申込!D137,6)-6)),VALUE(MID(教室申込!D137,FIND("/",教室申込!D137,6)+1,2))),""))</f>
        <v/>
      </c>
    </row>
    <row r="377" spans="1:7">
      <c r="A377" s="1">
        <f>376</f>
        <v>376</v>
      </c>
      <c r="B377" s="1">
        <f>138</f>
        <v>138</v>
      </c>
      <c r="C377" s="1" t="str">
        <f>"珠算"</f>
        <v>珠算</v>
      </c>
      <c r="D377" s="1" t="str">
        <f>IF(教室申込!F138="","",IFERROR(VALUE(教室申込!F138),""))</f>
        <v/>
      </c>
      <c r="E377" s="1" t="str">
        <f>IF(D377="","",COUNT($D$2:D377))</f>
        <v/>
      </c>
      <c r="F377" s="1" t="str">
        <f>IF(COUNTA(教室申込!$C$4)=0,"",教室申込!$C$4)</f>
        <v/>
      </c>
      <c r="G377" s="1" t="str">
        <f>IF(教室申込!D138="","",IFERROR(DATE(VALUE(LEFT(教室申込!D138,4)),VALUE(MID(教室申込!D138,6,FIND("/",教室申込!D138,6)-6)),VALUE(MID(教室申込!D138,FIND("/",教室申込!D138,6)+1,2))),""))</f>
        <v/>
      </c>
    </row>
    <row r="378" spans="1:7">
      <c r="A378" s="1">
        <f>377</f>
        <v>377</v>
      </c>
      <c r="B378" s="1">
        <f>138</f>
        <v>138</v>
      </c>
      <c r="C378" s="1" t="str">
        <f>"暗算"</f>
        <v>暗算</v>
      </c>
      <c r="D378" s="1" t="str">
        <f>IF(教室申込!G138="","",IFERROR(VALUE(教室申込!G138),""))</f>
        <v/>
      </c>
      <c r="E378" s="1" t="str">
        <f>IF(D378="","",COUNT($D$2:D378))</f>
        <v/>
      </c>
      <c r="F378" s="1" t="str">
        <f>IF(COUNTA(教室申込!$C$4)=0,"",教室申込!$C$4)</f>
        <v/>
      </c>
      <c r="G378" s="1" t="str">
        <f>IF(教室申込!D138="","",IFERROR(DATE(VALUE(LEFT(教室申込!D138,4)),VALUE(MID(教室申込!D138,6,FIND("/",教室申込!D138,6)-6)),VALUE(MID(教室申込!D138,FIND("/",教室申込!D138,6)+1,2))),""))</f>
        <v/>
      </c>
    </row>
    <row r="379" spans="1:7">
      <c r="A379" s="1">
        <f>378</f>
        <v>378</v>
      </c>
      <c r="B379" s="1">
        <f>138</f>
        <v>138</v>
      </c>
      <c r="C379" s="1" t="str">
        <f>"段位認定"</f>
        <v>段位認定</v>
      </c>
      <c r="D379" s="1" t="str">
        <f>IF(教室申込!H138="","",IFERROR(MATCH(教室申込!H138,料金表!$G$6:$G$8,0),""))</f>
        <v/>
      </c>
      <c r="E379" s="1" t="str">
        <f>IF(D379="","",COUNT($D$2:D379))</f>
        <v/>
      </c>
      <c r="F379" s="1" t="str">
        <f>IF(COUNTA(教室申込!$C$4)=0,"",教室申込!$C$4)</f>
        <v/>
      </c>
      <c r="G379" s="1" t="str">
        <f>IF(教室申込!D138="","",IFERROR(DATE(VALUE(LEFT(教室申込!D138,4)),VALUE(MID(教室申込!D138,6,FIND("/",教室申込!D138,6)-6)),VALUE(MID(教室申込!D138,FIND("/",教室申込!D138,6)+1,2))),""))</f>
        <v/>
      </c>
    </row>
    <row r="380" spans="1:7">
      <c r="A380" s="1">
        <f>379</f>
        <v>379</v>
      </c>
      <c r="B380" s="1">
        <f>139</f>
        <v>139</v>
      </c>
      <c r="C380" s="1" t="str">
        <f>"珠算"</f>
        <v>珠算</v>
      </c>
      <c r="D380" s="1" t="str">
        <f>IF(教室申込!F139="","",IFERROR(VALUE(教室申込!F139),""))</f>
        <v/>
      </c>
      <c r="E380" s="1" t="str">
        <f>IF(D380="","",COUNT($D$2:D380))</f>
        <v/>
      </c>
      <c r="F380" s="1" t="str">
        <f>IF(COUNTA(教室申込!$C$4)=0,"",教室申込!$C$4)</f>
        <v/>
      </c>
      <c r="G380" s="1" t="str">
        <f>IF(教室申込!D139="","",IFERROR(DATE(VALUE(LEFT(教室申込!D139,4)),VALUE(MID(教室申込!D139,6,FIND("/",教室申込!D139,6)-6)),VALUE(MID(教室申込!D139,FIND("/",教室申込!D139,6)+1,2))),""))</f>
        <v/>
      </c>
    </row>
    <row r="381" spans="1:7">
      <c r="A381" s="1">
        <f>380</f>
        <v>380</v>
      </c>
      <c r="B381" s="1">
        <f>139</f>
        <v>139</v>
      </c>
      <c r="C381" s="1" t="str">
        <f>"暗算"</f>
        <v>暗算</v>
      </c>
      <c r="D381" s="1" t="str">
        <f>IF(教室申込!G139="","",IFERROR(VALUE(教室申込!G139),""))</f>
        <v/>
      </c>
      <c r="E381" s="1" t="str">
        <f>IF(D381="","",COUNT($D$2:D381))</f>
        <v/>
      </c>
      <c r="F381" s="1" t="str">
        <f>IF(COUNTA(教室申込!$C$4)=0,"",教室申込!$C$4)</f>
        <v/>
      </c>
      <c r="G381" s="1" t="str">
        <f>IF(教室申込!D139="","",IFERROR(DATE(VALUE(LEFT(教室申込!D139,4)),VALUE(MID(教室申込!D139,6,FIND("/",教室申込!D139,6)-6)),VALUE(MID(教室申込!D139,FIND("/",教室申込!D139,6)+1,2))),""))</f>
        <v/>
      </c>
    </row>
    <row r="382" spans="1:7">
      <c r="A382" s="1">
        <f>381</f>
        <v>381</v>
      </c>
      <c r="B382" s="1">
        <f>139</f>
        <v>139</v>
      </c>
      <c r="C382" s="1" t="str">
        <f>"段位認定"</f>
        <v>段位認定</v>
      </c>
      <c r="D382" s="1" t="str">
        <f>IF(教室申込!H139="","",IFERROR(MATCH(教室申込!H139,料金表!$G$6:$G$8,0),""))</f>
        <v/>
      </c>
      <c r="E382" s="1" t="str">
        <f>IF(D382="","",COUNT($D$2:D382))</f>
        <v/>
      </c>
      <c r="F382" s="1" t="str">
        <f>IF(COUNTA(教室申込!$C$4)=0,"",教室申込!$C$4)</f>
        <v/>
      </c>
      <c r="G382" s="1" t="str">
        <f>IF(教室申込!D139="","",IFERROR(DATE(VALUE(LEFT(教室申込!D139,4)),VALUE(MID(教室申込!D139,6,FIND("/",教室申込!D139,6)-6)),VALUE(MID(教室申込!D139,FIND("/",教室申込!D139,6)+1,2))),""))</f>
        <v/>
      </c>
    </row>
    <row r="383" spans="1:7">
      <c r="A383" s="1">
        <f>382</f>
        <v>382</v>
      </c>
      <c r="B383" s="1">
        <f>140</f>
        <v>140</v>
      </c>
      <c r="C383" s="1" t="str">
        <f>"珠算"</f>
        <v>珠算</v>
      </c>
      <c r="D383" s="1" t="str">
        <f>IF(教室申込!F140="","",IFERROR(VALUE(教室申込!F140),""))</f>
        <v/>
      </c>
      <c r="E383" s="1" t="str">
        <f>IF(D383="","",COUNT($D$2:D383))</f>
        <v/>
      </c>
      <c r="F383" s="1" t="str">
        <f>IF(COUNTA(教室申込!$C$4)=0,"",教室申込!$C$4)</f>
        <v/>
      </c>
      <c r="G383" s="1" t="str">
        <f>IF(教室申込!D140="","",IFERROR(DATE(VALUE(LEFT(教室申込!D140,4)),VALUE(MID(教室申込!D140,6,FIND("/",教室申込!D140,6)-6)),VALUE(MID(教室申込!D140,FIND("/",教室申込!D140,6)+1,2))),""))</f>
        <v/>
      </c>
    </row>
    <row r="384" spans="1:7">
      <c r="A384" s="1">
        <f>383</f>
        <v>383</v>
      </c>
      <c r="B384" s="1">
        <f>140</f>
        <v>140</v>
      </c>
      <c r="C384" s="1" t="str">
        <f>"暗算"</f>
        <v>暗算</v>
      </c>
      <c r="D384" s="1" t="str">
        <f>IF(教室申込!G140="","",IFERROR(VALUE(教室申込!G140),""))</f>
        <v/>
      </c>
      <c r="E384" s="1" t="str">
        <f>IF(D384="","",COUNT($D$2:D384))</f>
        <v/>
      </c>
      <c r="F384" s="1" t="str">
        <f>IF(COUNTA(教室申込!$C$4)=0,"",教室申込!$C$4)</f>
        <v/>
      </c>
      <c r="G384" s="1" t="str">
        <f>IF(教室申込!D140="","",IFERROR(DATE(VALUE(LEFT(教室申込!D140,4)),VALUE(MID(教室申込!D140,6,FIND("/",教室申込!D140,6)-6)),VALUE(MID(教室申込!D140,FIND("/",教室申込!D140,6)+1,2))),""))</f>
        <v/>
      </c>
    </row>
    <row r="385" spans="1:7">
      <c r="A385" s="1">
        <f>384</f>
        <v>384</v>
      </c>
      <c r="B385" s="1">
        <f>140</f>
        <v>140</v>
      </c>
      <c r="C385" s="1" t="str">
        <f>"段位認定"</f>
        <v>段位認定</v>
      </c>
      <c r="D385" s="1" t="str">
        <f>IF(教室申込!H140="","",IFERROR(MATCH(教室申込!H140,料金表!$G$6:$G$8,0),""))</f>
        <v/>
      </c>
      <c r="E385" s="1" t="str">
        <f>IF(D385="","",COUNT($D$2:D385))</f>
        <v/>
      </c>
      <c r="F385" s="1" t="str">
        <f>IF(COUNTA(教室申込!$C$4)=0,"",教室申込!$C$4)</f>
        <v/>
      </c>
      <c r="G385" s="1" t="str">
        <f>IF(教室申込!D140="","",IFERROR(DATE(VALUE(LEFT(教室申込!D140,4)),VALUE(MID(教室申込!D140,6,FIND("/",教室申込!D140,6)-6)),VALUE(MID(教室申込!D140,FIND("/",教室申込!D140,6)+1,2))),""))</f>
        <v/>
      </c>
    </row>
    <row r="386" spans="1:7">
      <c r="A386" s="1">
        <f>385</f>
        <v>385</v>
      </c>
      <c r="B386" s="1">
        <f>141</f>
        <v>141</v>
      </c>
      <c r="C386" s="1" t="str">
        <f>"珠算"</f>
        <v>珠算</v>
      </c>
      <c r="D386" s="1" t="str">
        <f>IF(教室申込!F141="","",IFERROR(VALUE(教室申込!F141),""))</f>
        <v/>
      </c>
      <c r="E386" s="1" t="str">
        <f>IF(D386="","",COUNT($D$2:D386))</f>
        <v/>
      </c>
      <c r="F386" s="1" t="str">
        <f>IF(COUNTA(教室申込!$C$4)=0,"",教室申込!$C$4)</f>
        <v/>
      </c>
      <c r="G386" s="1" t="str">
        <f>IF(教室申込!D141="","",IFERROR(DATE(VALUE(LEFT(教室申込!D141,4)),VALUE(MID(教室申込!D141,6,FIND("/",教室申込!D141,6)-6)),VALUE(MID(教室申込!D141,FIND("/",教室申込!D141,6)+1,2))),""))</f>
        <v/>
      </c>
    </row>
    <row r="387" spans="1:7">
      <c r="A387" s="1">
        <f>386</f>
        <v>386</v>
      </c>
      <c r="B387" s="1">
        <f>141</f>
        <v>141</v>
      </c>
      <c r="C387" s="1" t="str">
        <f>"暗算"</f>
        <v>暗算</v>
      </c>
      <c r="D387" s="1" t="str">
        <f>IF(教室申込!G141="","",IFERROR(VALUE(教室申込!G141),""))</f>
        <v/>
      </c>
      <c r="E387" s="1" t="str">
        <f>IF(D387="","",COUNT($D$2:D387))</f>
        <v/>
      </c>
      <c r="F387" s="1" t="str">
        <f>IF(COUNTA(教室申込!$C$4)=0,"",教室申込!$C$4)</f>
        <v/>
      </c>
      <c r="G387" s="1" t="str">
        <f>IF(教室申込!D141="","",IFERROR(DATE(VALUE(LEFT(教室申込!D141,4)),VALUE(MID(教室申込!D141,6,FIND("/",教室申込!D141,6)-6)),VALUE(MID(教室申込!D141,FIND("/",教室申込!D141,6)+1,2))),""))</f>
        <v/>
      </c>
    </row>
    <row r="388" spans="1:7">
      <c r="A388" s="1">
        <f>387</f>
        <v>387</v>
      </c>
      <c r="B388" s="1">
        <f>141</f>
        <v>141</v>
      </c>
      <c r="C388" s="1" t="str">
        <f>"段位認定"</f>
        <v>段位認定</v>
      </c>
      <c r="D388" s="1" t="str">
        <f>IF(教室申込!H141="","",IFERROR(MATCH(教室申込!H141,料金表!$G$6:$G$8,0),""))</f>
        <v/>
      </c>
      <c r="E388" s="1" t="str">
        <f>IF(D388="","",COUNT($D$2:D388))</f>
        <v/>
      </c>
      <c r="F388" s="1" t="str">
        <f>IF(COUNTA(教室申込!$C$4)=0,"",教室申込!$C$4)</f>
        <v/>
      </c>
      <c r="G388" s="1" t="str">
        <f>IF(教室申込!D141="","",IFERROR(DATE(VALUE(LEFT(教室申込!D141,4)),VALUE(MID(教室申込!D141,6,FIND("/",教室申込!D141,6)-6)),VALUE(MID(教室申込!D141,FIND("/",教室申込!D141,6)+1,2))),""))</f>
        <v/>
      </c>
    </row>
    <row r="389" spans="1:7">
      <c r="A389" s="1">
        <f>388</f>
        <v>388</v>
      </c>
      <c r="B389" s="1">
        <f>142</f>
        <v>142</v>
      </c>
      <c r="C389" s="1" t="str">
        <f>"珠算"</f>
        <v>珠算</v>
      </c>
      <c r="D389" s="1" t="str">
        <f>IF(教室申込!F142="","",IFERROR(VALUE(教室申込!F142),""))</f>
        <v/>
      </c>
      <c r="E389" s="1" t="str">
        <f>IF(D389="","",COUNT($D$2:D389))</f>
        <v/>
      </c>
      <c r="F389" s="1" t="str">
        <f>IF(COUNTA(教室申込!$C$4)=0,"",教室申込!$C$4)</f>
        <v/>
      </c>
      <c r="G389" s="1" t="str">
        <f>IF(教室申込!D142="","",IFERROR(DATE(VALUE(LEFT(教室申込!D142,4)),VALUE(MID(教室申込!D142,6,FIND("/",教室申込!D142,6)-6)),VALUE(MID(教室申込!D142,FIND("/",教室申込!D142,6)+1,2))),""))</f>
        <v/>
      </c>
    </row>
    <row r="390" spans="1:7">
      <c r="A390" s="1">
        <f>389</f>
        <v>389</v>
      </c>
      <c r="B390" s="1">
        <f>142</f>
        <v>142</v>
      </c>
      <c r="C390" s="1" t="str">
        <f>"暗算"</f>
        <v>暗算</v>
      </c>
      <c r="D390" s="1" t="str">
        <f>IF(教室申込!G142="","",IFERROR(VALUE(教室申込!G142),""))</f>
        <v/>
      </c>
      <c r="E390" s="1" t="str">
        <f>IF(D390="","",COUNT($D$2:D390))</f>
        <v/>
      </c>
      <c r="F390" s="1" t="str">
        <f>IF(COUNTA(教室申込!$C$4)=0,"",教室申込!$C$4)</f>
        <v/>
      </c>
      <c r="G390" s="1" t="str">
        <f>IF(教室申込!D142="","",IFERROR(DATE(VALUE(LEFT(教室申込!D142,4)),VALUE(MID(教室申込!D142,6,FIND("/",教室申込!D142,6)-6)),VALUE(MID(教室申込!D142,FIND("/",教室申込!D142,6)+1,2))),""))</f>
        <v/>
      </c>
    </row>
    <row r="391" spans="1:7">
      <c r="A391" s="1">
        <f>390</f>
        <v>390</v>
      </c>
      <c r="B391" s="1">
        <f>142</f>
        <v>142</v>
      </c>
      <c r="C391" s="1" t="str">
        <f>"段位認定"</f>
        <v>段位認定</v>
      </c>
      <c r="D391" s="1" t="str">
        <f>IF(教室申込!H142="","",IFERROR(MATCH(教室申込!H142,料金表!$G$6:$G$8,0),""))</f>
        <v/>
      </c>
      <c r="E391" s="1" t="str">
        <f>IF(D391="","",COUNT($D$2:D391))</f>
        <v/>
      </c>
      <c r="F391" s="1" t="str">
        <f>IF(COUNTA(教室申込!$C$4)=0,"",教室申込!$C$4)</f>
        <v/>
      </c>
      <c r="G391" s="1" t="str">
        <f>IF(教室申込!D142="","",IFERROR(DATE(VALUE(LEFT(教室申込!D142,4)),VALUE(MID(教室申込!D142,6,FIND("/",教室申込!D142,6)-6)),VALUE(MID(教室申込!D142,FIND("/",教室申込!D142,6)+1,2))),""))</f>
        <v/>
      </c>
    </row>
    <row r="392" spans="1:7">
      <c r="A392" s="1">
        <f>391</f>
        <v>391</v>
      </c>
      <c r="B392" s="1">
        <f>143</f>
        <v>143</v>
      </c>
      <c r="C392" s="1" t="str">
        <f>"珠算"</f>
        <v>珠算</v>
      </c>
      <c r="D392" s="1" t="str">
        <f>IF(教室申込!F143="","",IFERROR(VALUE(教室申込!F143),""))</f>
        <v/>
      </c>
      <c r="E392" s="1" t="str">
        <f>IF(D392="","",COUNT($D$2:D392))</f>
        <v/>
      </c>
      <c r="F392" s="1" t="str">
        <f>IF(COUNTA(教室申込!$C$4)=0,"",教室申込!$C$4)</f>
        <v/>
      </c>
      <c r="G392" s="1" t="str">
        <f>IF(教室申込!D143="","",IFERROR(DATE(VALUE(LEFT(教室申込!D143,4)),VALUE(MID(教室申込!D143,6,FIND("/",教室申込!D143,6)-6)),VALUE(MID(教室申込!D143,FIND("/",教室申込!D143,6)+1,2))),""))</f>
        <v/>
      </c>
    </row>
    <row r="393" spans="1:7">
      <c r="A393" s="1">
        <f>392</f>
        <v>392</v>
      </c>
      <c r="B393" s="1">
        <f>143</f>
        <v>143</v>
      </c>
      <c r="C393" s="1" t="str">
        <f>"暗算"</f>
        <v>暗算</v>
      </c>
      <c r="D393" s="1" t="str">
        <f>IF(教室申込!G143="","",IFERROR(VALUE(教室申込!G143),""))</f>
        <v/>
      </c>
      <c r="E393" s="1" t="str">
        <f>IF(D393="","",COUNT($D$2:D393))</f>
        <v/>
      </c>
      <c r="F393" s="1" t="str">
        <f>IF(COUNTA(教室申込!$C$4)=0,"",教室申込!$C$4)</f>
        <v/>
      </c>
      <c r="G393" s="1" t="str">
        <f>IF(教室申込!D143="","",IFERROR(DATE(VALUE(LEFT(教室申込!D143,4)),VALUE(MID(教室申込!D143,6,FIND("/",教室申込!D143,6)-6)),VALUE(MID(教室申込!D143,FIND("/",教室申込!D143,6)+1,2))),""))</f>
        <v/>
      </c>
    </row>
    <row r="394" spans="1:7">
      <c r="A394" s="1">
        <f>393</f>
        <v>393</v>
      </c>
      <c r="B394" s="1">
        <f>143</f>
        <v>143</v>
      </c>
      <c r="C394" s="1" t="str">
        <f>"段位認定"</f>
        <v>段位認定</v>
      </c>
      <c r="D394" s="1" t="str">
        <f>IF(教室申込!H143="","",IFERROR(MATCH(教室申込!H143,料金表!$G$6:$G$8,0),""))</f>
        <v/>
      </c>
      <c r="E394" s="1" t="str">
        <f>IF(D394="","",COUNT($D$2:D394))</f>
        <v/>
      </c>
      <c r="F394" s="1" t="str">
        <f>IF(COUNTA(教室申込!$C$4)=0,"",教室申込!$C$4)</f>
        <v/>
      </c>
      <c r="G394" s="1" t="str">
        <f>IF(教室申込!D143="","",IFERROR(DATE(VALUE(LEFT(教室申込!D143,4)),VALUE(MID(教室申込!D143,6,FIND("/",教室申込!D143,6)-6)),VALUE(MID(教室申込!D143,FIND("/",教室申込!D143,6)+1,2))),""))</f>
        <v/>
      </c>
    </row>
    <row r="395" spans="1:7">
      <c r="A395" s="1">
        <f>394</f>
        <v>394</v>
      </c>
      <c r="B395" s="1">
        <f>144</f>
        <v>144</v>
      </c>
      <c r="C395" s="1" t="str">
        <f>"珠算"</f>
        <v>珠算</v>
      </c>
      <c r="D395" s="1" t="str">
        <f>IF(教室申込!F144="","",IFERROR(VALUE(教室申込!F144),""))</f>
        <v/>
      </c>
      <c r="E395" s="1" t="str">
        <f>IF(D395="","",COUNT($D$2:D395))</f>
        <v/>
      </c>
      <c r="F395" s="1" t="str">
        <f>IF(COUNTA(教室申込!$C$4)=0,"",教室申込!$C$4)</f>
        <v/>
      </c>
      <c r="G395" s="1" t="str">
        <f>IF(教室申込!D144="","",IFERROR(DATE(VALUE(LEFT(教室申込!D144,4)),VALUE(MID(教室申込!D144,6,FIND("/",教室申込!D144,6)-6)),VALUE(MID(教室申込!D144,FIND("/",教室申込!D144,6)+1,2))),""))</f>
        <v/>
      </c>
    </row>
    <row r="396" spans="1:7">
      <c r="A396" s="1">
        <f>395</f>
        <v>395</v>
      </c>
      <c r="B396" s="1">
        <f>144</f>
        <v>144</v>
      </c>
      <c r="C396" s="1" t="str">
        <f>"暗算"</f>
        <v>暗算</v>
      </c>
      <c r="D396" s="1" t="str">
        <f>IF(教室申込!G144="","",IFERROR(VALUE(教室申込!G144),""))</f>
        <v/>
      </c>
      <c r="E396" s="1" t="str">
        <f>IF(D396="","",COUNT($D$2:D396))</f>
        <v/>
      </c>
      <c r="F396" s="1" t="str">
        <f>IF(COUNTA(教室申込!$C$4)=0,"",教室申込!$C$4)</f>
        <v/>
      </c>
      <c r="G396" s="1" t="str">
        <f>IF(教室申込!D144="","",IFERROR(DATE(VALUE(LEFT(教室申込!D144,4)),VALUE(MID(教室申込!D144,6,FIND("/",教室申込!D144,6)-6)),VALUE(MID(教室申込!D144,FIND("/",教室申込!D144,6)+1,2))),""))</f>
        <v/>
      </c>
    </row>
    <row r="397" spans="1:7">
      <c r="A397" s="1">
        <f>396</f>
        <v>396</v>
      </c>
      <c r="B397" s="1">
        <f>144</f>
        <v>144</v>
      </c>
      <c r="C397" s="1" t="str">
        <f>"段位認定"</f>
        <v>段位認定</v>
      </c>
      <c r="D397" s="1" t="str">
        <f>IF(教室申込!H144="","",IFERROR(MATCH(教室申込!H144,料金表!$G$6:$G$8,0),""))</f>
        <v/>
      </c>
      <c r="E397" s="1" t="str">
        <f>IF(D397="","",COUNT($D$2:D397))</f>
        <v/>
      </c>
      <c r="F397" s="1" t="str">
        <f>IF(COUNTA(教室申込!$C$4)=0,"",教室申込!$C$4)</f>
        <v/>
      </c>
      <c r="G397" s="1" t="str">
        <f>IF(教室申込!D144="","",IFERROR(DATE(VALUE(LEFT(教室申込!D144,4)),VALUE(MID(教室申込!D144,6,FIND("/",教室申込!D144,6)-6)),VALUE(MID(教室申込!D144,FIND("/",教室申込!D144,6)+1,2))),""))</f>
        <v/>
      </c>
    </row>
    <row r="398" spans="1:7">
      <c r="A398" s="1">
        <f>397</f>
        <v>397</v>
      </c>
      <c r="B398" s="1">
        <f>145</f>
        <v>145</v>
      </c>
      <c r="C398" s="1" t="str">
        <f>"珠算"</f>
        <v>珠算</v>
      </c>
      <c r="D398" s="1" t="str">
        <f>IF(教室申込!F145="","",IFERROR(VALUE(教室申込!F145),""))</f>
        <v/>
      </c>
      <c r="E398" s="1" t="str">
        <f>IF(D398="","",COUNT($D$2:D398))</f>
        <v/>
      </c>
      <c r="F398" s="1" t="str">
        <f>IF(COUNTA(教室申込!$C$4)=0,"",教室申込!$C$4)</f>
        <v/>
      </c>
      <c r="G398" s="1" t="str">
        <f>IF(教室申込!D145="","",IFERROR(DATE(VALUE(LEFT(教室申込!D145,4)),VALUE(MID(教室申込!D145,6,FIND("/",教室申込!D145,6)-6)),VALUE(MID(教室申込!D145,FIND("/",教室申込!D145,6)+1,2))),""))</f>
        <v/>
      </c>
    </row>
    <row r="399" spans="1:7">
      <c r="A399" s="1">
        <f>398</f>
        <v>398</v>
      </c>
      <c r="B399" s="1">
        <f>145</f>
        <v>145</v>
      </c>
      <c r="C399" s="1" t="str">
        <f>"暗算"</f>
        <v>暗算</v>
      </c>
      <c r="D399" s="1" t="str">
        <f>IF(教室申込!G145="","",IFERROR(VALUE(教室申込!G145),""))</f>
        <v/>
      </c>
      <c r="E399" s="1" t="str">
        <f>IF(D399="","",COUNT($D$2:D399))</f>
        <v/>
      </c>
      <c r="F399" s="1" t="str">
        <f>IF(COUNTA(教室申込!$C$4)=0,"",教室申込!$C$4)</f>
        <v/>
      </c>
      <c r="G399" s="1" t="str">
        <f>IF(教室申込!D145="","",IFERROR(DATE(VALUE(LEFT(教室申込!D145,4)),VALUE(MID(教室申込!D145,6,FIND("/",教室申込!D145,6)-6)),VALUE(MID(教室申込!D145,FIND("/",教室申込!D145,6)+1,2))),""))</f>
        <v/>
      </c>
    </row>
    <row r="400" spans="1:7">
      <c r="A400" s="1">
        <f>399</f>
        <v>399</v>
      </c>
      <c r="B400" s="1">
        <f>145</f>
        <v>145</v>
      </c>
      <c r="C400" s="1" t="str">
        <f>"段位認定"</f>
        <v>段位認定</v>
      </c>
      <c r="D400" s="1" t="str">
        <f>IF(教室申込!H145="","",IFERROR(MATCH(教室申込!H145,料金表!$G$6:$G$8,0),""))</f>
        <v/>
      </c>
      <c r="E400" s="1" t="str">
        <f>IF(D400="","",COUNT($D$2:D400))</f>
        <v/>
      </c>
      <c r="F400" s="1" t="str">
        <f>IF(COUNTA(教室申込!$C$4)=0,"",教室申込!$C$4)</f>
        <v/>
      </c>
      <c r="G400" s="1" t="str">
        <f>IF(教室申込!D145="","",IFERROR(DATE(VALUE(LEFT(教室申込!D145,4)),VALUE(MID(教室申込!D145,6,FIND("/",教室申込!D145,6)-6)),VALUE(MID(教室申込!D145,FIND("/",教室申込!D145,6)+1,2))),""))</f>
        <v/>
      </c>
    </row>
    <row r="401" spans="1:7">
      <c r="A401" s="1">
        <f>400</f>
        <v>400</v>
      </c>
      <c r="B401" s="1">
        <f>146</f>
        <v>146</v>
      </c>
      <c r="C401" s="1" t="str">
        <f>"珠算"</f>
        <v>珠算</v>
      </c>
      <c r="D401" s="1" t="str">
        <f>IF(教室申込!F146="","",IFERROR(VALUE(教室申込!F146),""))</f>
        <v/>
      </c>
      <c r="E401" s="1" t="str">
        <f>IF(D401="","",COUNT($D$2:D401))</f>
        <v/>
      </c>
      <c r="F401" s="1" t="str">
        <f>IF(COUNTA(教室申込!$C$4)=0,"",教室申込!$C$4)</f>
        <v/>
      </c>
      <c r="G401" s="1" t="str">
        <f>IF(教室申込!D146="","",IFERROR(DATE(VALUE(LEFT(教室申込!D146,4)),VALUE(MID(教室申込!D146,6,FIND("/",教室申込!D146,6)-6)),VALUE(MID(教室申込!D146,FIND("/",教室申込!D146,6)+1,2))),""))</f>
        <v/>
      </c>
    </row>
    <row r="402" spans="1:7">
      <c r="A402" s="1">
        <f>401</f>
        <v>401</v>
      </c>
      <c r="B402" s="1">
        <f>146</f>
        <v>146</v>
      </c>
      <c r="C402" s="1" t="str">
        <f>"暗算"</f>
        <v>暗算</v>
      </c>
      <c r="D402" s="1" t="str">
        <f>IF(教室申込!G146="","",IFERROR(VALUE(教室申込!G146),""))</f>
        <v/>
      </c>
      <c r="E402" s="1" t="str">
        <f>IF(D402="","",COUNT($D$2:D402))</f>
        <v/>
      </c>
      <c r="F402" s="1" t="str">
        <f>IF(COUNTA(教室申込!$C$4)=0,"",教室申込!$C$4)</f>
        <v/>
      </c>
      <c r="G402" s="1" t="str">
        <f>IF(教室申込!D146="","",IFERROR(DATE(VALUE(LEFT(教室申込!D146,4)),VALUE(MID(教室申込!D146,6,FIND("/",教室申込!D146,6)-6)),VALUE(MID(教室申込!D146,FIND("/",教室申込!D146,6)+1,2))),""))</f>
        <v/>
      </c>
    </row>
    <row r="403" spans="1:7">
      <c r="A403" s="1">
        <f>402</f>
        <v>402</v>
      </c>
      <c r="B403" s="1">
        <f>146</f>
        <v>146</v>
      </c>
      <c r="C403" s="1" t="str">
        <f>"段位認定"</f>
        <v>段位認定</v>
      </c>
      <c r="D403" s="1" t="str">
        <f>IF(教室申込!H146="","",IFERROR(MATCH(教室申込!H146,料金表!$G$6:$G$8,0),""))</f>
        <v/>
      </c>
      <c r="E403" s="1" t="str">
        <f>IF(D403="","",COUNT($D$2:D403))</f>
        <v/>
      </c>
      <c r="F403" s="1" t="str">
        <f>IF(COUNTA(教室申込!$C$4)=0,"",教室申込!$C$4)</f>
        <v/>
      </c>
      <c r="G403" s="1" t="str">
        <f>IF(教室申込!D146="","",IFERROR(DATE(VALUE(LEFT(教室申込!D146,4)),VALUE(MID(教室申込!D146,6,FIND("/",教室申込!D146,6)-6)),VALUE(MID(教室申込!D146,FIND("/",教室申込!D146,6)+1,2))),""))</f>
        <v/>
      </c>
    </row>
    <row r="404" spans="1:7">
      <c r="A404" s="1">
        <f>403</f>
        <v>403</v>
      </c>
      <c r="B404" s="1">
        <f>147</f>
        <v>147</v>
      </c>
      <c r="C404" s="1" t="str">
        <f>"珠算"</f>
        <v>珠算</v>
      </c>
      <c r="D404" s="1" t="str">
        <f>IF(教室申込!F147="","",IFERROR(VALUE(教室申込!F147),""))</f>
        <v/>
      </c>
      <c r="E404" s="1" t="str">
        <f>IF(D404="","",COUNT($D$2:D404))</f>
        <v/>
      </c>
      <c r="F404" s="1" t="str">
        <f>IF(COUNTA(教室申込!$C$4)=0,"",教室申込!$C$4)</f>
        <v/>
      </c>
      <c r="G404" s="1" t="str">
        <f>IF(教室申込!D147="","",IFERROR(DATE(VALUE(LEFT(教室申込!D147,4)),VALUE(MID(教室申込!D147,6,FIND("/",教室申込!D147,6)-6)),VALUE(MID(教室申込!D147,FIND("/",教室申込!D147,6)+1,2))),""))</f>
        <v/>
      </c>
    </row>
    <row r="405" spans="1:7">
      <c r="A405" s="1">
        <f>404</f>
        <v>404</v>
      </c>
      <c r="B405" s="1">
        <f>147</f>
        <v>147</v>
      </c>
      <c r="C405" s="1" t="str">
        <f>"暗算"</f>
        <v>暗算</v>
      </c>
      <c r="D405" s="1" t="str">
        <f>IF(教室申込!G147="","",IFERROR(VALUE(教室申込!G147),""))</f>
        <v/>
      </c>
      <c r="E405" s="1" t="str">
        <f>IF(D405="","",COUNT($D$2:D405))</f>
        <v/>
      </c>
      <c r="F405" s="1" t="str">
        <f>IF(COUNTA(教室申込!$C$4)=0,"",教室申込!$C$4)</f>
        <v/>
      </c>
      <c r="G405" s="1" t="str">
        <f>IF(教室申込!D147="","",IFERROR(DATE(VALUE(LEFT(教室申込!D147,4)),VALUE(MID(教室申込!D147,6,FIND("/",教室申込!D147,6)-6)),VALUE(MID(教室申込!D147,FIND("/",教室申込!D147,6)+1,2))),""))</f>
        <v/>
      </c>
    </row>
    <row r="406" spans="1:7">
      <c r="A406" s="1">
        <f>405</f>
        <v>405</v>
      </c>
      <c r="B406" s="1">
        <f>147</f>
        <v>147</v>
      </c>
      <c r="C406" s="1" t="str">
        <f>"段位認定"</f>
        <v>段位認定</v>
      </c>
      <c r="D406" s="1" t="str">
        <f>IF(教室申込!H147="","",IFERROR(MATCH(教室申込!H147,料金表!$G$6:$G$8,0),""))</f>
        <v/>
      </c>
      <c r="E406" s="1" t="str">
        <f>IF(D406="","",COUNT($D$2:D406))</f>
        <v/>
      </c>
      <c r="F406" s="1" t="str">
        <f>IF(COUNTA(教室申込!$C$4)=0,"",教室申込!$C$4)</f>
        <v/>
      </c>
      <c r="G406" s="1" t="str">
        <f>IF(教室申込!D147="","",IFERROR(DATE(VALUE(LEFT(教室申込!D147,4)),VALUE(MID(教室申込!D147,6,FIND("/",教室申込!D147,6)-6)),VALUE(MID(教室申込!D147,FIND("/",教室申込!D147,6)+1,2))),""))</f>
        <v/>
      </c>
    </row>
    <row r="407" spans="1:7">
      <c r="A407" s="1">
        <f>406</f>
        <v>406</v>
      </c>
      <c r="B407" s="1">
        <f>148</f>
        <v>148</v>
      </c>
      <c r="C407" s="1" t="str">
        <f>"珠算"</f>
        <v>珠算</v>
      </c>
      <c r="D407" s="1" t="str">
        <f>IF(教室申込!F148="","",IFERROR(VALUE(教室申込!F148),""))</f>
        <v/>
      </c>
      <c r="E407" s="1" t="str">
        <f>IF(D407="","",COUNT($D$2:D407))</f>
        <v/>
      </c>
      <c r="F407" s="1" t="str">
        <f>IF(COUNTA(教室申込!$C$4)=0,"",教室申込!$C$4)</f>
        <v/>
      </c>
      <c r="G407" s="1" t="str">
        <f>IF(教室申込!D148="","",IFERROR(DATE(VALUE(LEFT(教室申込!D148,4)),VALUE(MID(教室申込!D148,6,FIND("/",教室申込!D148,6)-6)),VALUE(MID(教室申込!D148,FIND("/",教室申込!D148,6)+1,2))),""))</f>
        <v/>
      </c>
    </row>
    <row r="408" spans="1:7">
      <c r="A408" s="1">
        <f>407</f>
        <v>407</v>
      </c>
      <c r="B408" s="1">
        <f>148</f>
        <v>148</v>
      </c>
      <c r="C408" s="1" t="str">
        <f>"暗算"</f>
        <v>暗算</v>
      </c>
      <c r="D408" s="1" t="str">
        <f>IF(教室申込!G148="","",IFERROR(VALUE(教室申込!G148),""))</f>
        <v/>
      </c>
      <c r="E408" s="1" t="str">
        <f>IF(D408="","",COUNT($D$2:D408))</f>
        <v/>
      </c>
      <c r="F408" s="1" t="str">
        <f>IF(COUNTA(教室申込!$C$4)=0,"",教室申込!$C$4)</f>
        <v/>
      </c>
      <c r="G408" s="1" t="str">
        <f>IF(教室申込!D148="","",IFERROR(DATE(VALUE(LEFT(教室申込!D148,4)),VALUE(MID(教室申込!D148,6,FIND("/",教室申込!D148,6)-6)),VALUE(MID(教室申込!D148,FIND("/",教室申込!D148,6)+1,2))),""))</f>
        <v/>
      </c>
    </row>
    <row r="409" spans="1:7">
      <c r="A409" s="1">
        <f>408</f>
        <v>408</v>
      </c>
      <c r="B409" s="1">
        <f>148</f>
        <v>148</v>
      </c>
      <c r="C409" s="1" t="str">
        <f>"段位認定"</f>
        <v>段位認定</v>
      </c>
      <c r="D409" s="1" t="str">
        <f>IF(教室申込!H148="","",IFERROR(MATCH(教室申込!H148,料金表!$G$6:$G$8,0),""))</f>
        <v/>
      </c>
      <c r="E409" s="1" t="str">
        <f>IF(D409="","",COUNT($D$2:D409))</f>
        <v/>
      </c>
      <c r="F409" s="1" t="str">
        <f>IF(COUNTA(教室申込!$C$4)=0,"",教室申込!$C$4)</f>
        <v/>
      </c>
      <c r="G409" s="1" t="str">
        <f>IF(教室申込!D148="","",IFERROR(DATE(VALUE(LEFT(教室申込!D148,4)),VALUE(MID(教室申込!D148,6,FIND("/",教室申込!D148,6)-6)),VALUE(MID(教室申込!D148,FIND("/",教室申込!D148,6)+1,2))),""))</f>
        <v/>
      </c>
    </row>
    <row r="410" spans="1:7">
      <c r="A410" s="1">
        <f>409</f>
        <v>409</v>
      </c>
      <c r="B410" s="1">
        <f>149</f>
        <v>149</v>
      </c>
      <c r="C410" s="1" t="str">
        <f>"珠算"</f>
        <v>珠算</v>
      </c>
      <c r="D410" s="1" t="str">
        <f>IF(教室申込!F149="","",IFERROR(VALUE(教室申込!F149),""))</f>
        <v/>
      </c>
      <c r="E410" s="1" t="str">
        <f>IF(D410="","",COUNT($D$2:D410))</f>
        <v/>
      </c>
      <c r="F410" s="1" t="str">
        <f>IF(COUNTA(教室申込!$C$4)=0,"",教室申込!$C$4)</f>
        <v/>
      </c>
      <c r="G410" s="1" t="str">
        <f>IF(教室申込!D149="","",IFERROR(DATE(VALUE(LEFT(教室申込!D149,4)),VALUE(MID(教室申込!D149,6,FIND("/",教室申込!D149,6)-6)),VALUE(MID(教室申込!D149,FIND("/",教室申込!D149,6)+1,2))),""))</f>
        <v/>
      </c>
    </row>
    <row r="411" spans="1:7">
      <c r="A411" s="1">
        <f>410</f>
        <v>410</v>
      </c>
      <c r="B411" s="1">
        <f>149</f>
        <v>149</v>
      </c>
      <c r="C411" s="1" t="str">
        <f>"暗算"</f>
        <v>暗算</v>
      </c>
      <c r="D411" s="1" t="str">
        <f>IF(教室申込!G149="","",IFERROR(VALUE(教室申込!G149),""))</f>
        <v/>
      </c>
      <c r="E411" s="1" t="str">
        <f>IF(D411="","",COUNT($D$2:D411))</f>
        <v/>
      </c>
      <c r="F411" s="1" t="str">
        <f>IF(COUNTA(教室申込!$C$4)=0,"",教室申込!$C$4)</f>
        <v/>
      </c>
      <c r="G411" s="1" t="str">
        <f>IF(教室申込!D149="","",IFERROR(DATE(VALUE(LEFT(教室申込!D149,4)),VALUE(MID(教室申込!D149,6,FIND("/",教室申込!D149,6)-6)),VALUE(MID(教室申込!D149,FIND("/",教室申込!D149,6)+1,2))),""))</f>
        <v/>
      </c>
    </row>
    <row r="412" spans="1:7">
      <c r="A412" s="1">
        <f>411</f>
        <v>411</v>
      </c>
      <c r="B412" s="1">
        <f>149</f>
        <v>149</v>
      </c>
      <c r="C412" s="1" t="str">
        <f>"段位認定"</f>
        <v>段位認定</v>
      </c>
      <c r="D412" s="1" t="str">
        <f>IF(教室申込!H149="","",IFERROR(MATCH(教室申込!H149,料金表!$G$6:$G$8,0),""))</f>
        <v/>
      </c>
      <c r="E412" s="1" t="str">
        <f>IF(D412="","",COUNT($D$2:D412))</f>
        <v/>
      </c>
      <c r="F412" s="1" t="str">
        <f>IF(COUNTA(教室申込!$C$4)=0,"",教室申込!$C$4)</f>
        <v/>
      </c>
      <c r="G412" s="1" t="str">
        <f>IF(教室申込!D149="","",IFERROR(DATE(VALUE(LEFT(教室申込!D149,4)),VALUE(MID(教室申込!D149,6,FIND("/",教室申込!D149,6)-6)),VALUE(MID(教室申込!D149,FIND("/",教室申込!D149,6)+1,2))),""))</f>
        <v/>
      </c>
    </row>
    <row r="413" spans="1:7">
      <c r="A413" s="1">
        <f>412</f>
        <v>412</v>
      </c>
      <c r="B413" s="1">
        <f>150</f>
        <v>150</v>
      </c>
      <c r="C413" s="1" t="str">
        <f>"珠算"</f>
        <v>珠算</v>
      </c>
      <c r="D413" s="1" t="str">
        <f>IF(教室申込!F150="","",IFERROR(VALUE(教室申込!F150),""))</f>
        <v/>
      </c>
      <c r="E413" s="1" t="str">
        <f>IF(D413="","",COUNT($D$2:D413))</f>
        <v/>
      </c>
      <c r="F413" s="1" t="str">
        <f>IF(COUNTA(教室申込!$C$4)=0,"",教室申込!$C$4)</f>
        <v/>
      </c>
      <c r="G413" s="1" t="str">
        <f>IF(教室申込!D150="","",IFERROR(DATE(VALUE(LEFT(教室申込!D150,4)),VALUE(MID(教室申込!D150,6,FIND("/",教室申込!D150,6)-6)),VALUE(MID(教室申込!D150,FIND("/",教室申込!D150,6)+1,2))),""))</f>
        <v/>
      </c>
    </row>
    <row r="414" spans="1:7">
      <c r="A414" s="1">
        <f>413</f>
        <v>413</v>
      </c>
      <c r="B414" s="1">
        <f>150</f>
        <v>150</v>
      </c>
      <c r="C414" s="1" t="str">
        <f>"暗算"</f>
        <v>暗算</v>
      </c>
      <c r="D414" s="1" t="str">
        <f>IF(教室申込!G150="","",IFERROR(VALUE(教室申込!G150),""))</f>
        <v/>
      </c>
      <c r="E414" s="1" t="str">
        <f>IF(D414="","",COUNT($D$2:D414))</f>
        <v/>
      </c>
      <c r="F414" s="1" t="str">
        <f>IF(COUNTA(教室申込!$C$4)=0,"",教室申込!$C$4)</f>
        <v/>
      </c>
      <c r="G414" s="1" t="str">
        <f>IF(教室申込!D150="","",IFERROR(DATE(VALUE(LEFT(教室申込!D150,4)),VALUE(MID(教室申込!D150,6,FIND("/",教室申込!D150,6)-6)),VALUE(MID(教室申込!D150,FIND("/",教室申込!D150,6)+1,2))),""))</f>
        <v/>
      </c>
    </row>
    <row r="415" spans="1:7">
      <c r="A415" s="1">
        <f>414</f>
        <v>414</v>
      </c>
      <c r="B415" s="1">
        <f>150</f>
        <v>150</v>
      </c>
      <c r="C415" s="1" t="str">
        <f>"段位認定"</f>
        <v>段位認定</v>
      </c>
      <c r="D415" s="1" t="str">
        <f>IF(教室申込!H150="","",IFERROR(MATCH(教室申込!H150,料金表!$G$6:$G$8,0),""))</f>
        <v/>
      </c>
      <c r="E415" s="1" t="str">
        <f>IF(D415="","",COUNT($D$2:D415))</f>
        <v/>
      </c>
      <c r="F415" s="1" t="str">
        <f>IF(COUNTA(教室申込!$C$4)=0,"",教室申込!$C$4)</f>
        <v/>
      </c>
      <c r="G415" s="1" t="str">
        <f>IF(教室申込!D150="","",IFERROR(DATE(VALUE(LEFT(教室申込!D150,4)),VALUE(MID(教室申込!D150,6,FIND("/",教室申込!D150,6)-6)),VALUE(MID(教室申込!D150,FIND("/",教室申込!D150,6)+1,2))),""))</f>
        <v/>
      </c>
    </row>
    <row r="416" spans="1:7">
      <c r="A416" s="1">
        <f>415</f>
        <v>415</v>
      </c>
      <c r="B416" s="1">
        <f>151</f>
        <v>151</v>
      </c>
      <c r="C416" s="1" t="str">
        <f>"珠算"</f>
        <v>珠算</v>
      </c>
      <c r="D416" s="1" t="str">
        <f>IF(教室申込!F151="","",IFERROR(VALUE(教室申込!F151),""))</f>
        <v/>
      </c>
      <c r="E416" s="1" t="str">
        <f>IF(D416="","",COUNT($D$2:D416))</f>
        <v/>
      </c>
      <c r="F416" s="1" t="str">
        <f>IF(COUNTA(教室申込!$C$4)=0,"",教室申込!$C$4)</f>
        <v/>
      </c>
      <c r="G416" s="1" t="str">
        <f>IF(教室申込!D151="","",IFERROR(DATE(VALUE(LEFT(教室申込!D151,4)),VALUE(MID(教室申込!D151,6,FIND("/",教室申込!D151,6)-6)),VALUE(MID(教室申込!D151,FIND("/",教室申込!D151,6)+1,2))),""))</f>
        <v/>
      </c>
    </row>
    <row r="417" spans="1:7">
      <c r="A417" s="1">
        <f>416</f>
        <v>416</v>
      </c>
      <c r="B417" s="1">
        <f>151</f>
        <v>151</v>
      </c>
      <c r="C417" s="1" t="str">
        <f>"暗算"</f>
        <v>暗算</v>
      </c>
      <c r="D417" s="1" t="str">
        <f>IF(教室申込!G151="","",IFERROR(VALUE(教室申込!G151),""))</f>
        <v/>
      </c>
      <c r="E417" s="1" t="str">
        <f>IF(D417="","",COUNT($D$2:D417))</f>
        <v/>
      </c>
      <c r="F417" s="1" t="str">
        <f>IF(COUNTA(教室申込!$C$4)=0,"",教室申込!$C$4)</f>
        <v/>
      </c>
      <c r="G417" s="1" t="str">
        <f>IF(教室申込!D151="","",IFERROR(DATE(VALUE(LEFT(教室申込!D151,4)),VALUE(MID(教室申込!D151,6,FIND("/",教室申込!D151,6)-6)),VALUE(MID(教室申込!D151,FIND("/",教室申込!D151,6)+1,2))),""))</f>
        <v/>
      </c>
    </row>
    <row r="418" spans="1:7">
      <c r="A418" s="1">
        <f>417</f>
        <v>417</v>
      </c>
      <c r="B418" s="1">
        <f>151</f>
        <v>151</v>
      </c>
      <c r="C418" s="1" t="str">
        <f>"段位認定"</f>
        <v>段位認定</v>
      </c>
      <c r="D418" s="1" t="str">
        <f>IF(教室申込!H151="","",IFERROR(MATCH(教室申込!H151,料金表!$G$6:$G$8,0),""))</f>
        <v/>
      </c>
      <c r="E418" s="1" t="str">
        <f>IF(D418="","",COUNT($D$2:D418))</f>
        <v/>
      </c>
      <c r="F418" s="1" t="str">
        <f>IF(COUNTA(教室申込!$C$4)=0,"",教室申込!$C$4)</f>
        <v/>
      </c>
      <c r="G418" s="1" t="str">
        <f>IF(教室申込!D151="","",IFERROR(DATE(VALUE(LEFT(教室申込!D151,4)),VALUE(MID(教室申込!D151,6,FIND("/",教室申込!D151,6)-6)),VALUE(MID(教室申込!D151,FIND("/",教室申込!D151,6)+1,2))),""))</f>
        <v/>
      </c>
    </row>
    <row r="419" spans="1:7">
      <c r="A419" s="1">
        <f>418</f>
        <v>418</v>
      </c>
      <c r="B419" s="1">
        <f>152</f>
        <v>152</v>
      </c>
      <c r="C419" s="1" t="str">
        <f>"珠算"</f>
        <v>珠算</v>
      </c>
      <c r="D419" s="1" t="str">
        <f>IF(教室申込!F152="","",IFERROR(VALUE(教室申込!F152),""))</f>
        <v/>
      </c>
      <c r="E419" s="1" t="str">
        <f>IF(D419="","",COUNT($D$2:D419))</f>
        <v/>
      </c>
      <c r="F419" s="1" t="str">
        <f>IF(COUNTA(教室申込!$C$4)=0,"",教室申込!$C$4)</f>
        <v/>
      </c>
      <c r="G419" s="1" t="str">
        <f>IF(教室申込!D152="","",IFERROR(DATE(VALUE(LEFT(教室申込!D152,4)),VALUE(MID(教室申込!D152,6,FIND("/",教室申込!D152,6)-6)),VALUE(MID(教室申込!D152,FIND("/",教室申込!D152,6)+1,2))),""))</f>
        <v/>
      </c>
    </row>
    <row r="420" spans="1:7">
      <c r="A420" s="1">
        <f>419</f>
        <v>419</v>
      </c>
      <c r="B420" s="1">
        <f>152</f>
        <v>152</v>
      </c>
      <c r="C420" s="1" t="str">
        <f>"暗算"</f>
        <v>暗算</v>
      </c>
      <c r="D420" s="1" t="str">
        <f>IF(教室申込!G152="","",IFERROR(VALUE(教室申込!G152),""))</f>
        <v/>
      </c>
      <c r="E420" s="1" t="str">
        <f>IF(D420="","",COUNT($D$2:D420))</f>
        <v/>
      </c>
      <c r="F420" s="1" t="str">
        <f>IF(COUNTA(教室申込!$C$4)=0,"",教室申込!$C$4)</f>
        <v/>
      </c>
      <c r="G420" s="1" t="str">
        <f>IF(教室申込!D152="","",IFERROR(DATE(VALUE(LEFT(教室申込!D152,4)),VALUE(MID(教室申込!D152,6,FIND("/",教室申込!D152,6)-6)),VALUE(MID(教室申込!D152,FIND("/",教室申込!D152,6)+1,2))),""))</f>
        <v/>
      </c>
    </row>
    <row r="421" spans="1:7">
      <c r="A421" s="1">
        <f>420</f>
        <v>420</v>
      </c>
      <c r="B421" s="1">
        <f>152</f>
        <v>152</v>
      </c>
      <c r="C421" s="1" t="str">
        <f>"段位認定"</f>
        <v>段位認定</v>
      </c>
      <c r="D421" s="1" t="str">
        <f>IF(教室申込!H152="","",IFERROR(MATCH(教室申込!H152,料金表!$G$6:$G$8,0),""))</f>
        <v/>
      </c>
      <c r="E421" s="1" t="str">
        <f>IF(D421="","",COUNT($D$2:D421))</f>
        <v/>
      </c>
      <c r="F421" s="1" t="str">
        <f>IF(COUNTA(教室申込!$C$4)=0,"",教室申込!$C$4)</f>
        <v/>
      </c>
      <c r="G421" s="1" t="str">
        <f>IF(教室申込!D152="","",IFERROR(DATE(VALUE(LEFT(教室申込!D152,4)),VALUE(MID(教室申込!D152,6,FIND("/",教室申込!D152,6)-6)),VALUE(MID(教室申込!D152,FIND("/",教室申込!D152,6)+1,2))),""))</f>
        <v/>
      </c>
    </row>
    <row r="422" spans="1:7">
      <c r="A422" s="1">
        <f>421</f>
        <v>421</v>
      </c>
      <c r="B422" s="1">
        <f>153</f>
        <v>153</v>
      </c>
      <c r="C422" s="1" t="str">
        <f>"珠算"</f>
        <v>珠算</v>
      </c>
      <c r="D422" s="1" t="str">
        <f>IF(教室申込!F153="","",IFERROR(VALUE(教室申込!F153),""))</f>
        <v/>
      </c>
      <c r="E422" s="1" t="str">
        <f>IF(D422="","",COUNT($D$2:D422))</f>
        <v/>
      </c>
      <c r="F422" s="1" t="str">
        <f>IF(COUNTA(教室申込!$C$4)=0,"",教室申込!$C$4)</f>
        <v/>
      </c>
      <c r="G422" s="1" t="str">
        <f>IF(教室申込!D153="","",IFERROR(DATE(VALUE(LEFT(教室申込!D153,4)),VALUE(MID(教室申込!D153,6,FIND("/",教室申込!D153,6)-6)),VALUE(MID(教室申込!D153,FIND("/",教室申込!D153,6)+1,2))),""))</f>
        <v/>
      </c>
    </row>
    <row r="423" spans="1:7">
      <c r="A423" s="1">
        <f>422</f>
        <v>422</v>
      </c>
      <c r="B423" s="1">
        <f>153</f>
        <v>153</v>
      </c>
      <c r="C423" s="1" t="str">
        <f>"暗算"</f>
        <v>暗算</v>
      </c>
      <c r="D423" s="1" t="str">
        <f>IF(教室申込!G153="","",IFERROR(VALUE(教室申込!G153),""))</f>
        <v/>
      </c>
      <c r="E423" s="1" t="str">
        <f>IF(D423="","",COUNT($D$2:D423))</f>
        <v/>
      </c>
      <c r="F423" s="1" t="str">
        <f>IF(COUNTA(教室申込!$C$4)=0,"",教室申込!$C$4)</f>
        <v/>
      </c>
      <c r="G423" s="1" t="str">
        <f>IF(教室申込!D153="","",IFERROR(DATE(VALUE(LEFT(教室申込!D153,4)),VALUE(MID(教室申込!D153,6,FIND("/",教室申込!D153,6)-6)),VALUE(MID(教室申込!D153,FIND("/",教室申込!D153,6)+1,2))),""))</f>
        <v/>
      </c>
    </row>
    <row r="424" spans="1:7">
      <c r="A424" s="1">
        <f>423</f>
        <v>423</v>
      </c>
      <c r="B424" s="1">
        <f>153</f>
        <v>153</v>
      </c>
      <c r="C424" s="1" t="str">
        <f>"段位認定"</f>
        <v>段位認定</v>
      </c>
      <c r="D424" s="1" t="str">
        <f>IF(教室申込!H153="","",IFERROR(MATCH(教室申込!H153,料金表!$G$6:$G$8,0),""))</f>
        <v/>
      </c>
      <c r="E424" s="1" t="str">
        <f>IF(D424="","",COUNT($D$2:D424))</f>
        <v/>
      </c>
      <c r="F424" s="1" t="str">
        <f>IF(COUNTA(教室申込!$C$4)=0,"",教室申込!$C$4)</f>
        <v/>
      </c>
      <c r="G424" s="1" t="str">
        <f>IF(教室申込!D153="","",IFERROR(DATE(VALUE(LEFT(教室申込!D153,4)),VALUE(MID(教室申込!D153,6,FIND("/",教室申込!D153,6)-6)),VALUE(MID(教室申込!D153,FIND("/",教室申込!D153,6)+1,2))),""))</f>
        <v/>
      </c>
    </row>
    <row r="425" spans="1:7">
      <c r="A425" s="1">
        <f>424</f>
        <v>424</v>
      </c>
      <c r="B425" s="1">
        <f>154</f>
        <v>154</v>
      </c>
      <c r="C425" s="1" t="str">
        <f>"珠算"</f>
        <v>珠算</v>
      </c>
      <c r="D425" s="1" t="str">
        <f>IF(教室申込!F154="","",IFERROR(VALUE(教室申込!F154),""))</f>
        <v/>
      </c>
      <c r="E425" s="1" t="str">
        <f>IF(D425="","",COUNT($D$2:D425))</f>
        <v/>
      </c>
      <c r="F425" s="1" t="str">
        <f>IF(COUNTA(教室申込!$C$4)=0,"",教室申込!$C$4)</f>
        <v/>
      </c>
      <c r="G425" s="1" t="str">
        <f>IF(教室申込!D154="","",IFERROR(DATE(VALUE(LEFT(教室申込!D154,4)),VALUE(MID(教室申込!D154,6,FIND("/",教室申込!D154,6)-6)),VALUE(MID(教室申込!D154,FIND("/",教室申込!D154,6)+1,2))),""))</f>
        <v/>
      </c>
    </row>
    <row r="426" spans="1:7">
      <c r="A426" s="1">
        <f>425</f>
        <v>425</v>
      </c>
      <c r="B426" s="1">
        <f>154</f>
        <v>154</v>
      </c>
      <c r="C426" s="1" t="str">
        <f>"暗算"</f>
        <v>暗算</v>
      </c>
      <c r="D426" s="1" t="str">
        <f>IF(教室申込!G154="","",IFERROR(VALUE(教室申込!G154),""))</f>
        <v/>
      </c>
      <c r="E426" s="1" t="str">
        <f>IF(D426="","",COUNT($D$2:D426))</f>
        <v/>
      </c>
      <c r="F426" s="1" t="str">
        <f>IF(COUNTA(教室申込!$C$4)=0,"",教室申込!$C$4)</f>
        <v/>
      </c>
      <c r="G426" s="1" t="str">
        <f>IF(教室申込!D154="","",IFERROR(DATE(VALUE(LEFT(教室申込!D154,4)),VALUE(MID(教室申込!D154,6,FIND("/",教室申込!D154,6)-6)),VALUE(MID(教室申込!D154,FIND("/",教室申込!D154,6)+1,2))),""))</f>
        <v/>
      </c>
    </row>
    <row r="427" spans="1:7">
      <c r="A427" s="1">
        <f>426</f>
        <v>426</v>
      </c>
      <c r="B427" s="1">
        <f>154</f>
        <v>154</v>
      </c>
      <c r="C427" s="1" t="str">
        <f>"段位認定"</f>
        <v>段位認定</v>
      </c>
      <c r="D427" s="1" t="str">
        <f>IF(教室申込!H154="","",IFERROR(MATCH(教室申込!H154,料金表!$G$6:$G$8,0),""))</f>
        <v/>
      </c>
      <c r="E427" s="1" t="str">
        <f>IF(D427="","",COUNT($D$2:D427))</f>
        <v/>
      </c>
      <c r="F427" s="1" t="str">
        <f>IF(COUNTA(教室申込!$C$4)=0,"",教室申込!$C$4)</f>
        <v/>
      </c>
      <c r="G427" s="1" t="str">
        <f>IF(教室申込!D154="","",IFERROR(DATE(VALUE(LEFT(教室申込!D154,4)),VALUE(MID(教室申込!D154,6,FIND("/",教室申込!D154,6)-6)),VALUE(MID(教室申込!D154,FIND("/",教室申込!D154,6)+1,2))),""))</f>
        <v/>
      </c>
    </row>
    <row r="428" spans="1:7">
      <c r="A428" s="1">
        <f>427</f>
        <v>427</v>
      </c>
      <c r="B428" s="1">
        <f>155</f>
        <v>155</v>
      </c>
      <c r="C428" s="1" t="str">
        <f>"珠算"</f>
        <v>珠算</v>
      </c>
      <c r="D428" s="1" t="str">
        <f>IF(教室申込!F155="","",IFERROR(VALUE(教室申込!F155),""))</f>
        <v/>
      </c>
      <c r="E428" s="1" t="str">
        <f>IF(D428="","",COUNT($D$2:D428))</f>
        <v/>
      </c>
      <c r="F428" s="1" t="str">
        <f>IF(COUNTA(教室申込!$C$4)=0,"",教室申込!$C$4)</f>
        <v/>
      </c>
      <c r="G428" s="1" t="str">
        <f>IF(教室申込!D155="","",IFERROR(DATE(VALUE(LEFT(教室申込!D155,4)),VALUE(MID(教室申込!D155,6,FIND("/",教室申込!D155,6)-6)),VALUE(MID(教室申込!D155,FIND("/",教室申込!D155,6)+1,2))),""))</f>
        <v/>
      </c>
    </row>
    <row r="429" spans="1:7">
      <c r="A429" s="1">
        <f>428</f>
        <v>428</v>
      </c>
      <c r="B429" s="1">
        <f>155</f>
        <v>155</v>
      </c>
      <c r="C429" s="1" t="str">
        <f>"暗算"</f>
        <v>暗算</v>
      </c>
      <c r="D429" s="1" t="str">
        <f>IF(教室申込!G155="","",IFERROR(VALUE(教室申込!G155),""))</f>
        <v/>
      </c>
      <c r="E429" s="1" t="str">
        <f>IF(D429="","",COUNT($D$2:D429))</f>
        <v/>
      </c>
      <c r="F429" s="1" t="str">
        <f>IF(COUNTA(教室申込!$C$4)=0,"",教室申込!$C$4)</f>
        <v/>
      </c>
      <c r="G429" s="1" t="str">
        <f>IF(教室申込!D155="","",IFERROR(DATE(VALUE(LEFT(教室申込!D155,4)),VALUE(MID(教室申込!D155,6,FIND("/",教室申込!D155,6)-6)),VALUE(MID(教室申込!D155,FIND("/",教室申込!D155,6)+1,2))),""))</f>
        <v/>
      </c>
    </row>
    <row r="430" spans="1:7">
      <c r="A430" s="1">
        <f>429</f>
        <v>429</v>
      </c>
      <c r="B430" s="1">
        <f>155</f>
        <v>155</v>
      </c>
      <c r="C430" s="1" t="str">
        <f>"段位認定"</f>
        <v>段位認定</v>
      </c>
      <c r="D430" s="1" t="str">
        <f>IF(教室申込!H155="","",IFERROR(MATCH(教室申込!H155,料金表!$G$6:$G$8,0),""))</f>
        <v/>
      </c>
      <c r="E430" s="1" t="str">
        <f>IF(D430="","",COUNT($D$2:D430))</f>
        <v/>
      </c>
      <c r="F430" s="1" t="str">
        <f>IF(COUNTA(教室申込!$C$4)=0,"",教室申込!$C$4)</f>
        <v/>
      </c>
      <c r="G430" s="1" t="str">
        <f>IF(教室申込!D155="","",IFERROR(DATE(VALUE(LEFT(教室申込!D155,4)),VALUE(MID(教室申込!D155,6,FIND("/",教室申込!D155,6)-6)),VALUE(MID(教室申込!D155,FIND("/",教室申込!D155,6)+1,2))),""))</f>
        <v/>
      </c>
    </row>
    <row r="431" spans="1:7">
      <c r="A431" s="1">
        <f>430</f>
        <v>430</v>
      </c>
      <c r="B431" s="1">
        <f>156</f>
        <v>156</v>
      </c>
      <c r="C431" s="1" t="str">
        <f>"珠算"</f>
        <v>珠算</v>
      </c>
      <c r="D431" s="1" t="str">
        <f>IF(教室申込!F156="","",IFERROR(VALUE(教室申込!F156),""))</f>
        <v/>
      </c>
      <c r="E431" s="1" t="str">
        <f>IF(D431="","",COUNT($D$2:D431))</f>
        <v/>
      </c>
      <c r="F431" s="1" t="str">
        <f>IF(COUNTA(教室申込!$C$4)=0,"",教室申込!$C$4)</f>
        <v/>
      </c>
      <c r="G431" s="1" t="str">
        <f>IF(教室申込!D156="","",IFERROR(DATE(VALUE(LEFT(教室申込!D156,4)),VALUE(MID(教室申込!D156,6,FIND("/",教室申込!D156,6)-6)),VALUE(MID(教室申込!D156,FIND("/",教室申込!D156,6)+1,2))),""))</f>
        <v/>
      </c>
    </row>
    <row r="432" spans="1:7">
      <c r="A432" s="1">
        <f>431</f>
        <v>431</v>
      </c>
      <c r="B432" s="1">
        <f>156</f>
        <v>156</v>
      </c>
      <c r="C432" s="1" t="str">
        <f>"暗算"</f>
        <v>暗算</v>
      </c>
      <c r="D432" s="1" t="str">
        <f>IF(教室申込!G156="","",IFERROR(VALUE(教室申込!G156),""))</f>
        <v/>
      </c>
      <c r="E432" s="1" t="str">
        <f>IF(D432="","",COUNT($D$2:D432))</f>
        <v/>
      </c>
      <c r="F432" s="1" t="str">
        <f>IF(COUNTA(教室申込!$C$4)=0,"",教室申込!$C$4)</f>
        <v/>
      </c>
      <c r="G432" s="1" t="str">
        <f>IF(教室申込!D156="","",IFERROR(DATE(VALUE(LEFT(教室申込!D156,4)),VALUE(MID(教室申込!D156,6,FIND("/",教室申込!D156,6)-6)),VALUE(MID(教室申込!D156,FIND("/",教室申込!D156,6)+1,2))),""))</f>
        <v/>
      </c>
    </row>
    <row r="433" spans="1:7">
      <c r="A433" s="1">
        <f>432</f>
        <v>432</v>
      </c>
      <c r="B433" s="1">
        <f>156</f>
        <v>156</v>
      </c>
      <c r="C433" s="1" t="str">
        <f>"段位認定"</f>
        <v>段位認定</v>
      </c>
      <c r="D433" s="1" t="str">
        <f>IF(教室申込!H156="","",IFERROR(MATCH(教室申込!H156,料金表!$G$6:$G$8,0),""))</f>
        <v/>
      </c>
      <c r="E433" s="1" t="str">
        <f>IF(D433="","",COUNT($D$2:D433))</f>
        <v/>
      </c>
      <c r="F433" s="1" t="str">
        <f>IF(COUNTA(教室申込!$C$4)=0,"",教室申込!$C$4)</f>
        <v/>
      </c>
      <c r="G433" s="1" t="str">
        <f>IF(教室申込!D156="","",IFERROR(DATE(VALUE(LEFT(教室申込!D156,4)),VALUE(MID(教室申込!D156,6,FIND("/",教室申込!D156,6)-6)),VALUE(MID(教室申込!D156,FIND("/",教室申込!D156,6)+1,2))),""))</f>
        <v/>
      </c>
    </row>
    <row r="434" spans="1:7">
      <c r="A434" s="1">
        <f>433</f>
        <v>433</v>
      </c>
      <c r="B434" s="1">
        <f>157</f>
        <v>157</v>
      </c>
      <c r="C434" s="1" t="str">
        <f>"珠算"</f>
        <v>珠算</v>
      </c>
      <c r="D434" s="1" t="str">
        <f>IF(教室申込!F157="","",IFERROR(VALUE(教室申込!F157),""))</f>
        <v/>
      </c>
      <c r="E434" s="1" t="str">
        <f>IF(D434="","",COUNT($D$2:D434))</f>
        <v/>
      </c>
      <c r="F434" s="1" t="str">
        <f>IF(COUNTA(教室申込!$C$4)=0,"",教室申込!$C$4)</f>
        <v/>
      </c>
      <c r="G434" s="1" t="str">
        <f>IF(教室申込!D157="","",IFERROR(DATE(VALUE(LEFT(教室申込!D157,4)),VALUE(MID(教室申込!D157,6,FIND("/",教室申込!D157,6)-6)),VALUE(MID(教室申込!D157,FIND("/",教室申込!D157,6)+1,2))),""))</f>
        <v/>
      </c>
    </row>
    <row r="435" spans="1:7">
      <c r="A435" s="1">
        <f>434</f>
        <v>434</v>
      </c>
      <c r="B435" s="1">
        <f>157</f>
        <v>157</v>
      </c>
      <c r="C435" s="1" t="str">
        <f>"暗算"</f>
        <v>暗算</v>
      </c>
      <c r="D435" s="1" t="str">
        <f>IF(教室申込!G157="","",IFERROR(VALUE(教室申込!G157),""))</f>
        <v/>
      </c>
      <c r="E435" s="1" t="str">
        <f>IF(D435="","",COUNT($D$2:D435))</f>
        <v/>
      </c>
      <c r="F435" s="1" t="str">
        <f>IF(COUNTA(教室申込!$C$4)=0,"",教室申込!$C$4)</f>
        <v/>
      </c>
      <c r="G435" s="1" t="str">
        <f>IF(教室申込!D157="","",IFERROR(DATE(VALUE(LEFT(教室申込!D157,4)),VALUE(MID(教室申込!D157,6,FIND("/",教室申込!D157,6)-6)),VALUE(MID(教室申込!D157,FIND("/",教室申込!D157,6)+1,2))),""))</f>
        <v/>
      </c>
    </row>
    <row r="436" spans="1:7">
      <c r="A436" s="1">
        <f>435</f>
        <v>435</v>
      </c>
      <c r="B436" s="1">
        <f>157</f>
        <v>157</v>
      </c>
      <c r="C436" s="1" t="str">
        <f>"段位認定"</f>
        <v>段位認定</v>
      </c>
      <c r="D436" s="1" t="str">
        <f>IF(教室申込!H157="","",IFERROR(MATCH(教室申込!H157,料金表!$G$6:$G$8,0),""))</f>
        <v/>
      </c>
      <c r="E436" s="1" t="str">
        <f>IF(D436="","",COUNT($D$2:D436))</f>
        <v/>
      </c>
      <c r="F436" s="1" t="str">
        <f>IF(COUNTA(教室申込!$C$4)=0,"",教室申込!$C$4)</f>
        <v/>
      </c>
      <c r="G436" s="1" t="str">
        <f>IF(教室申込!D157="","",IFERROR(DATE(VALUE(LEFT(教室申込!D157,4)),VALUE(MID(教室申込!D157,6,FIND("/",教室申込!D157,6)-6)),VALUE(MID(教室申込!D157,FIND("/",教室申込!D157,6)+1,2))),""))</f>
        <v/>
      </c>
    </row>
    <row r="437" spans="1:7">
      <c r="A437" s="1">
        <f>436</f>
        <v>436</v>
      </c>
      <c r="B437" s="1">
        <f>158</f>
        <v>158</v>
      </c>
      <c r="C437" s="1" t="str">
        <f>"珠算"</f>
        <v>珠算</v>
      </c>
      <c r="D437" s="1" t="str">
        <f>IF(教室申込!F158="","",IFERROR(VALUE(教室申込!F158),""))</f>
        <v/>
      </c>
      <c r="E437" s="1" t="str">
        <f>IF(D437="","",COUNT($D$2:D437))</f>
        <v/>
      </c>
      <c r="F437" s="1" t="str">
        <f>IF(COUNTA(教室申込!$C$4)=0,"",教室申込!$C$4)</f>
        <v/>
      </c>
      <c r="G437" s="1" t="str">
        <f>IF(教室申込!D158="","",IFERROR(DATE(VALUE(LEFT(教室申込!D158,4)),VALUE(MID(教室申込!D158,6,FIND("/",教室申込!D158,6)-6)),VALUE(MID(教室申込!D158,FIND("/",教室申込!D158,6)+1,2))),""))</f>
        <v/>
      </c>
    </row>
    <row r="438" spans="1:7">
      <c r="A438" s="1">
        <f>437</f>
        <v>437</v>
      </c>
      <c r="B438" s="1">
        <f>158</f>
        <v>158</v>
      </c>
      <c r="C438" s="1" t="str">
        <f>"暗算"</f>
        <v>暗算</v>
      </c>
      <c r="D438" s="1" t="str">
        <f>IF(教室申込!G158="","",IFERROR(VALUE(教室申込!G158),""))</f>
        <v/>
      </c>
      <c r="E438" s="1" t="str">
        <f>IF(D438="","",COUNT($D$2:D438))</f>
        <v/>
      </c>
      <c r="F438" s="1" t="str">
        <f>IF(COUNTA(教室申込!$C$4)=0,"",教室申込!$C$4)</f>
        <v/>
      </c>
      <c r="G438" s="1" t="str">
        <f>IF(教室申込!D158="","",IFERROR(DATE(VALUE(LEFT(教室申込!D158,4)),VALUE(MID(教室申込!D158,6,FIND("/",教室申込!D158,6)-6)),VALUE(MID(教室申込!D158,FIND("/",教室申込!D158,6)+1,2))),""))</f>
        <v/>
      </c>
    </row>
    <row r="439" spans="1:7">
      <c r="A439" s="1">
        <f>438</f>
        <v>438</v>
      </c>
      <c r="B439" s="1">
        <f>158</f>
        <v>158</v>
      </c>
      <c r="C439" s="1" t="str">
        <f>"段位認定"</f>
        <v>段位認定</v>
      </c>
      <c r="D439" s="1" t="str">
        <f>IF(教室申込!H158="","",IFERROR(MATCH(教室申込!H158,料金表!$G$6:$G$8,0),""))</f>
        <v/>
      </c>
      <c r="E439" s="1" t="str">
        <f>IF(D439="","",COUNT($D$2:D439))</f>
        <v/>
      </c>
      <c r="F439" s="1" t="str">
        <f>IF(COUNTA(教室申込!$C$4)=0,"",教室申込!$C$4)</f>
        <v/>
      </c>
      <c r="G439" s="1" t="str">
        <f>IF(教室申込!D158="","",IFERROR(DATE(VALUE(LEFT(教室申込!D158,4)),VALUE(MID(教室申込!D158,6,FIND("/",教室申込!D158,6)-6)),VALUE(MID(教室申込!D158,FIND("/",教室申込!D158,6)+1,2))),""))</f>
        <v/>
      </c>
    </row>
    <row r="440" spans="1:7">
      <c r="A440" s="1">
        <f>439</f>
        <v>439</v>
      </c>
      <c r="B440" s="1">
        <f>159</f>
        <v>159</v>
      </c>
      <c r="C440" s="1" t="str">
        <f>"珠算"</f>
        <v>珠算</v>
      </c>
      <c r="D440" s="1" t="str">
        <f>IF(教室申込!F159="","",IFERROR(VALUE(教室申込!F159),""))</f>
        <v/>
      </c>
      <c r="E440" s="1" t="str">
        <f>IF(D440="","",COUNT($D$2:D440))</f>
        <v/>
      </c>
      <c r="F440" s="1" t="str">
        <f>IF(COUNTA(教室申込!$C$4)=0,"",教室申込!$C$4)</f>
        <v/>
      </c>
      <c r="G440" s="1" t="str">
        <f>IF(教室申込!D159="","",IFERROR(DATE(VALUE(LEFT(教室申込!D159,4)),VALUE(MID(教室申込!D159,6,FIND("/",教室申込!D159,6)-6)),VALUE(MID(教室申込!D159,FIND("/",教室申込!D159,6)+1,2))),""))</f>
        <v/>
      </c>
    </row>
    <row r="441" spans="1:7">
      <c r="A441" s="1">
        <f>440</f>
        <v>440</v>
      </c>
      <c r="B441" s="1">
        <f>159</f>
        <v>159</v>
      </c>
      <c r="C441" s="1" t="str">
        <f>"暗算"</f>
        <v>暗算</v>
      </c>
      <c r="D441" s="1" t="str">
        <f>IF(教室申込!G159="","",IFERROR(VALUE(教室申込!G159),""))</f>
        <v/>
      </c>
      <c r="E441" s="1" t="str">
        <f>IF(D441="","",COUNT($D$2:D441))</f>
        <v/>
      </c>
      <c r="F441" s="1" t="str">
        <f>IF(COUNTA(教室申込!$C$4)=0,"",教室申込!$C$4)</f>
        <v/>
      </c>
      <c r="G441" s="1" t="str">
        <f>IF(教室申込!D159="","",IFERROR(DATE(VALUE(LEFT(教室申込!D159,4)),VALUE(MID(教室申込!D159,6,FIND("/",教室申込!D159,6)-6)),VALUE(MID(教室申込!D159,FIND("/",教室申込!D159,6)+1,2))),""))</f>
        <v/>
      </c>
    </row>
    <row r="442" spans="1:7">
      <c r="A442" s="1">
        <f>441</f>
        <v>441</v>
      </c>
      <c r="B442" s="1">
        <f>159</f>
        <v>159</v>
      </c>
      <c r="C442" s="1" t="str">
        <f>"段位認定"</f>
        <v>段位認定</v>
      </c>
      <c r="D442" s="1" t="str">
        <f>IF(教室申込!H159="","",IFERROR(MATCH(教室申込!H159,料金表!$G$6:$G$8,0),""))</f>
        <v/>
      </c>
      <c r="E442" s="1" t="str">
        <f>IF(D442="","",COUNT($D$2:D442))</f>
        <v/>
      </c>
      <c r="F442" s="1" t="str">
        <f>IF(COUNTA(教室申込!$C$4)=0,"",教室申込!$C$4)</f>
        <v/>
      </c>
      <c r="G442" s="1" t="str">
        <f>IF(教室申込!D159="","",IFERROR(DATE(VALUE(LEFT(教室申込!D159,4)),VALUE(MID(教室申込!D159,6,FIND("/",教室申込!D159,6)-6)),VALUE(MID(教室申込!D159,FIND("/",教室申込!D159,6)+1,2))),""))</f>
        <v/>
      </c>
    </row>
    <row r="443" spans="1:7">
      <c r="A443" s="1">
        <f>442</f>
        <v>442</v>
      </c>
      <c r="B443" s="1">
        <f>160</f>
        <v>160</v>
      </c>
      <c r="C443" s="1" t="str">
        <f>"珠算"</f>
        <v>珠算</v>
      </c>
      <c r="D443" s="1" t="str">
        <f>IF(教室申込!F160="","",IFERROR(VALUE(教室申込!F160),""))</f>
        <v/>
      </c>
      <c r="E443" s="1" t="str">
        <f>IF(D443="","",COUNT($D$2:D443))</f>
        <v/>
      </c>
      <c r="F443" s="1" t="str">
        <f>IF(COUNTA(教室申込!$C$4)=0,"",教室申込!$C$4)</f>
        <v/>
      </c>
      <c r="G443" s="1" t="str">
        <f>IF(教室申込!D160="","",IFERROR(DATE(VALUE(LEFT(教室申込!D160,4)),VALUE(MID(教室申込!D160,6,FIND("/",教室申込!D160,6)-6)),VALUE(MID(教室申込!D160,FIND("/",教室申込!D160,6)+1,2))),""))</f>
        <v/>
      </c>
    </row>
    <row r="444" spans="1:7">
      <c r="A444" s="1">
        <f>443</f>
        <v>443</v>
      </c>
      <c r="B444" s="1">
        <f>160</f>
        <v>160</v>
      </c>
      <c r="C444" s="1" t="str">
        <f>"暗算"</f>
        <v>暗算</v>
      </c>
      <c r="D444" s="1" t="str">
        <f>IF(教室申込!G160="","",IFERROR(VALUE(教室申込!G160),""))</f>
        <v/>
      </c>
      <c r="E444" s="1" t="str">
        <f>IF(D444="","",COUNT($D$2:D444))</f>
        <v/>
      </c>
      <c r="F444" s="1" t="str">
        <f>IF(COUNTA(教室申込!$C$4)=0,"",教室申込!$C$4)</f>
        <v/>
      </c>
      <c r="G444" s="1" t="str">
        <f>IF(教室申込!D160="","",IFERROR(DATE(VALUE(LEFT(教室申込!D160,4)),VALUE(MID(教室申込!D160,6,FIND("/",教室申込!D160,6)-6)),VALUE(MID(教室申込!D160,FIND("/",教室申込!D160,6)+1,2))),""))</f>
        <v/>
      </c>
    </row>
    <row r="445" spans="1:7">
      <c r="A445" s="1">
        <f>444</f>
        <v>444</v>
      </c>
      <c r="B445" s="1">
        <f>160</f>
        <v>160</v>
      </c>
      <c r="C445" s="1" t="str">
        <f>"段位認定"</f>
        <v>段位認定</v>
      </c>
      <c r="D445" s="1" t="str">
        <f>IF(教室申込!H160="","",IFERROR(MATCH(教室申込!H160,料金表!$G$6:$G$8,0),""))</f>
        <v/>
      </c>
      <c r="E445" s="1" t="str">
        <f>IF(D445="","",COUNT($D$2:D445))</f>
        <v/>
      </c>
      <c r="F445" s="1" t="str">
        <f>IF(COUNTA(教室申込!$C$4)=0,"",教室申込!$C$4)</f>
        <v/>
      </c>
      <c r="G445" s="1" t="str">
        <f>IF(教室申込!D160="","",IFERROR(DATE(VALUE(LEFT(教室申込!D160,4)),VALUE(MID(教室申込!D160,6,FIND("/",教室申込!D160,6)-6)),VALUE(MID(教室申込!D160,FIND("/",教室申込!D160,6)+1,2))),""))</f>
        <v/>
      </c>
    </row>
    <row r="446" spans="1:7">
      <c r="A446" s="1">
        <f>445</f>
        <v>445</v>
      </c>
      <c r="B446" s="1">
        <f>161</f>
        <v>161</v>
      </c>
      <c r="C446" s="1" t="str">
        <f>"珠算"</f>
        <v>珠算</v>
      </c>
      <c r="D446" s="1" t="str">
        <f>IF(教室申込!F161="","",IFERROR(VALUE(教室申込!F161),""))</f>
        <v/>
      </c>
      <c r="E446" s="1" t="str">
        <f>IF(D446="","",COUNT($D$2:D446))</f>
        <v/>
      </c>
      <c r="F446" s="1" t="str">
        <f>IF(COUNTA(教室申込!$C$4)=0,"",教室申込!$C$4)</f>
        <v/>
      </c>
      <c r="G446" s="1" t="str">
        <f>IF(教室申込!D161="","",IFERROR(DATE(VALUE(LEFT(教室申込!D161,4)),VALUE(MID(教室申込!D161,6,FIND("/",教室申込!D161,6)-6)),VALUE(MID(教室申込!D161,FIND("/",教室申込!D161,6)+1,2))),""))</f>
        <v/>
      </c>
    </row>
    <row r="447" spans="1:7">
      <c r="A447" s="1">
        <f>446</f>
        <v>446</v>
      </c>
      <c r="B447" s="1">
        <f>161</f>
        <v>161</v>
      </c>
      <c r="C447" s="1" t="str">
        <f>"暗算"</f>
        <v>暗算</v>
      </c>
      <c r="D447" s="1" t="str">
        <f>IF(教室申込!G161="","",IFERROR(VALUE(教室申込!G161),""))</f>
        <v/>
      </c>
      <c r="E447" s="1" t="str">
        <f>IF(D447="","",COUNT($D$2:D447))</f>
        <v/>
      </c>
      <c r="F447" s="1" t="str">
        <f>IF(COUNTA(教室申込!$C$4)=0,"",教室申込!$C$4)</f>
        <v/>
      </c>
      <c r="G447" s="1" t="str">
        <f>IF(教室申込!D161="","",IFERROR(DATE(VALUE(LEFT(教室申込!D161,4)),VALUE(MID(教室申込!D161,6,FIND("/",教室申込!D161,6)-6)),VALUE(MID(教室申込!D161,FIND("/",教室申込!D161,6)+1,2))),""))</f>
        <v/>
      </c>
    </row>
    <row r="448" spans="1:7">
      <c r="A448" s="1">
        <f>447</f>
        <v>447</v>
      </c>
      <c r="B448" s="1">
        <f>161</f>
        <v>161</v>
      </c>
      <c r="C448" s="1" t="str">
        <f>"段位認定"</f>
        <v>段位認定</v>
      </c>
      <c r="D448" s="1" t="str">
        <f>IF(教室申込!H161="","",IFERROR(MATCH(教室申込!H161,料金表!$G$6:$G$8,0),""))</f>
        <v/>
      </c>
      <c r="E448" s="1" t="str">
        <f>IF(D448="","",COUNT($D$2:D448))</f>
        <v/>
      </c>
      <c r="F448" s="1" t="str">
        <f>IF(COUNTA(教室申込!$C$4)=0,"",教室申込!$C$4)</f>
        <v/>
      </c>
      <c r="G448" s="1" t="str">
        <f>IF(教室申込!D161="","",IFERROR(DATE(VALUE(LEFT(教室申込!D161,4)),VALUE(MID(教室申込!D161,6,FIND("/",教室申込!D161,6)-6)),VALUE(MID(教室申込!D161,FIND("/",教室申込!D161,6)+1,2))),""))</f>
        <v/>
      </c>
    </row>
    <row r="449" spans="1:7">
      <c r="A449" s="1">
        <f>448</f>
        <v>448</v>
      </c>
      <c r="B449" s="1">
        <f>162</f>
        <v>162</v>
      </c>
      <c r="C449" s="1" t="str">
        <f>"珠算"</f>
        <v>珠算</v>
      </c>
      <c r="D449" s="1" t="str">
        <f>IF(教室申込!F162="","",IFERROR(VALUE(教室申込!F162),""))</f>
        <v/>
      </c>
      <c r="E449" s="1" t="str">
        <f>IF(D449="","",COUNT($D$2:D449))</f>
        <v/>
      </c>
      <c r="F449" s="1" t="str">
        <f>IF(COUNTA(教室申込!$C$4)=0,"",教室申込!$C$4)</f>
        <v/>
      </c>
      <c r="G449" s="1" t="str">
        <f>IF(教室申込!D162="","",IFERROR(DATE(VALUE(LEFT(教室申込!D162,4)),VALUE(MID(教室申込!D162,6,FIND("/",教室申込!D162,6)-6)),VALUE(MID(教室申込!D162,FIND("/",教室申込!D162,6)+1,2))),""))</f>
        <v/>
      </c>
    </row>
    <row r="450" spans="1:7">
      <c r="A450" s="1">
        <f>449</f>
        <v>449</v>
      </c>
      <c r="B450" s="1">
        <f>162</f>
        <v>162</v>
      </c>
      <c r="C450" s="1" t="str">
        <f>"暗算"</f>
        <v>暗算</v>
      </c>
      <c r="D450" s="1" t="str">
        <f>IF(教室申込!G162="","",IFERROR(VALUE(教室申込!G162),""))</f>
        <v/>
      </c>
      <c r="E450" s="1" t="str">
        <f>IF(D450="","",COUNT($D$2:D450))</f>
        <v/>
      </c>
      <c r="F450" s="1" t="str">
        <f>IF(COUNTA(教室申込!$C$4)=0,"",教室申込!$C$4)</f>
        <v/>
      </c>
      <c r="G450" s="1" t="str">
        <f>IF(教室申込!D162="","",IFERROR(DATE(VALUE(LEFT(教室申込!D162,4)),VALUE(MID(教室申込!D162,6,FIND("/",教室申込!D162,6)-6)),VALUE(MID(教室申込!D162,FIND("/",教室申込!D162,6)+1,2))),""))</f>
        <v/>
      </c>
    </row>
    <row r="451" spans="1:7">
      <c r="A451" s="1">
        <f>450</f>
        <v>450</v>
      </c>
      <c r="B451" s="1">
        <f>162</f>
        <v>162</v>
      </c>
      <c r="C451" s="1" t="str">
        <f>"段位認定"</f>
        <v>段位認定</v>
      </c>
      <c r="D451" s="1" t="str">
        <f>IF(教室申込!H162="","",IFERROR(MATCH(教室申込!H162,料金表!$G$6:$G$8,0),""))</f>
        <v/>
      </c>
      <c r="E451" s="1" t="str">
        <f>IF(D451="","",COUNT($D$2:D451))</f>
        <v/>
      </c>
      <c r="F451" s="1" t="str">
        <f>IF(COUNTA(教室申込!$C$4)=0,"",教室申込!$C$4)</f>
        <v/>
      </c>
      <c r="G451" s="1" t="str">
        <f>IF(教室申込!D162="","",IFERROR(DATE(VALUE(LEFT(教室申込!D162,4)),VALUE(MID(教室申込!D162,6,FIND("/",教室申込!D162,6)-6)),VALUE(MID(教室申込!D162,FIND("/",教室申込!D162,6)+1,2))),""))</f>
        <v/>
      </c>
    </row>
    <row r="452" spans="1:7">
      <c r="A452" s="1">
        <f>451</f>
        <v>451</v>
      </c>
      <c r="B452" s="1">
        <f>163</f>
        <v>163</v>
      </c>
      <c r="C452" s="1" t="str">
        <f>"珠算"</f>
        <v>珠算</v>
      </c>
      <c r="D452" s="1" t="str">
        <f>IF(教室申込!F163="","",IFERROR(VALUE(教室申込!F163),""))</f>
        <v/>
      </c>
      <c r="E452" s="1" t="str">
        <f>IF(D452="","",COUNT($D$2:D452))</f>
        <v/>
      </c>
      <c r="F452" s="1" t="str">
        <f>IF(COUNTA(教室申込!$C$4)=0,"",教室申込!$C$4)</f>
        <v/>
      </c>
      <c r="G452" s="1" t="str">
        <f>IF(教室申込!D163="","",IFERROR(DATE(VALUE(LEFT(教室申込!D163,4)),VALUE(MID(教室申込!D163,6,FIND("/",教室申込!D163,6)-6)),VALUE(MID(教室申込!D163,FIND("/",教室申込!D163,6)+1,2))),""))</f>
        <v/>
      </c>
    </row>
    <row r="453" spans="1:7">
      <c r="A453" s="1">
        <f>452</f>
        <v>452</v>
      </c>
      <c r="B453" s="1">
        <f>163</f>
        <v>163</v>
      </c>
      <c r="C453" s="1" t="str">
        <f>"暗算"</f>
        <v>暗算</v>
      </c>
      <c r="D453" s="1" t="str">
        <f>IF(教室申込!G163="","",IFERROR(VALUE(教室申込!G163),""))</f>
        <v/>
      </c>
      <c r="E453" s="1" t="str">
        <f>IF(D453="","",COUNT($D$2:D453))</f>
        <v/>
      </c>
      <c r="F453" s="1" t="str">
        <f>IF(COUNTA(教室申込!$C$4)=0,"",教室申込!$C$4)</f>
        <v/>
      </c>
      <c r="G453" s="1" t="str">
        <f>IF(教室申込!D163="","",IFERROR(DATE(VALUE(LEFT(教室申込!D163,4)),VALUE(MID(教室申込!D163,6,FIND("/",教室申込!D163,6)-6)),VALUE(MID(教室申込!D163,FIND("/",教室申込!D163,6)+1,2))),""))</f>
        <v/>
      </c>
    </row>
    <row r="454" spans="1:7">
      <c r="A454" s="1">
        <f>453</f>
        <v>453</v>
      </c>
      <c r="B454" s="1">
        <f>163</f>
        <v>163</v>
      </c>
      <c r="C454" s="1" t="str">
        <f>"段位認定"</f>
        <v>段位認定</v>
      </c>
      <c r="D454" s="1" t="str">
        <f>IF(教室申込!H163="","",IFERROR(MATCH(教室申込!H163,料金表!$G$6:$G$8,0),""))</f>
        <v/>
      </c>
      <c r="E454" s="1" t="str">
        <f>IF(D454="","",COUNT($D$2:D454))</f>
        <v/>
      </c>
      <c r="F454" s="1" t="str">
        <f>IF(COUNTA(教室申込!$C$4)=0,"",教室申込!$C$4)</f>
        <v/>
      </c>
      <c r="G454" s="1" t="str">
        <f>IF(教室申込!D163="","",IFERROR(DATE(VALUE(LEFT(教室申込!D163,4)),VALUE(MID(教室申込!D163,6,FIND("/",教室申込!D163,6)-6)),VALUE(MID(教室申込!D163,FIND("/",教室申込!D163,6)+1,2))),""))</f>
        <v/>
      </c>
    </row>
    <row r="455" spans="1:7">
      <c r="A455" s="1">
        <f>454</f>
        <v>454</v>
      </c>
      <c r="B455" s="1">
        <f>164</f>
        <v>164</v>
      </c>
      <c r="C455" s="1" t="str">
        <f>"珠算"</f>
        <v>珠算</v>
      </c>
      <c r="D455" s="1" t="str">
        <f>IF(教室申込!F164="","",IFERROR(VALUE(教室申込!F164),""))</f>
        <v/>
      </c>
      <c r="E455" s="1" t="str">
        <f>IF(D455="","",COUNT($D$2:D455))</f>
        <v/>
      </c>
      <c r="F455" s="1" t="str">
        <f>IF(COUNTA(教室申込!$C$4)=0,"",教室申込!$C$4)</f>
        <v/>
      </c>
      <c r="G455" s="1" t="str">
        <f>IF(教室申込!D164="","",IFERROR(DATE(VALUE(LEFT(教室申込!D164,4)),VALUE(MID(教室申込!D164,6,FIND("/",教室申込!D164,6)-6)),VALUE(MID(教室申込!D164,FIND("/",教室申込!D164,6)+1,2))),""))</f>
        <v/>
      </c>
    </row>
    <row r="456" spans="1:7">
      <c r="A456" s="1">
        <f>455</f>
        <v>455</v>
      </c>
      <c r="B456" s="1">
        <f>164</f>
        <v>164</v>
      </c>
      <c r="C456" s="1" t="str">
        <f>"暗算"</f>
        <v>暗算</v>
      </c>
      <c r="D456" s="1" t="str">
        <f>IF(教室申込!G164="","",IFERROR(VALUE(教室申込!G164),""))</f>
        <v/>
      </c>
      <c r="E456" s="1" t="str">
        <f>IF(D456="","",COUNT($D$2:D456))</f>
        <v/>
      </c>
      <c r="F456" s="1" t="str">
        <f>IF(COUNTA(教室申込!$C$4)=0,"",教室申込!$C$4)</f>
        <v/>
      </c>
      <c r="G456" s="1" t="str">
        <f>IF(教室申込!D164="","",IFERROR(DATE(VALUE(LEFT(教室申込!D164,4)),VALUE(MID(教室申込!D164,6,FIND("/",教室申込!D164,6)-6)),VALUE(MID(教室申込!D164,FIND("/",教室申込!D164,6)+1,2))),""))</f>
        <v/>
      </c>
    </row>
    <row r="457" spans="1:7">
      <c r="A457" s="1">
        <f>456</f>
        <v>456</v>
      </c>
      <c r="B457" s="1">
        <f>164</f>
        <v>164</v>
      </c>
      <c r="C457" s="1" t="str">
        <f>"段位認定"</f>
        <v>段位認定</v>
      </c>
      <c r="D457" s="1" t="str">
        <f>IF(教室申込!H164="","",IFERROR(MATCH(教室申込!H164,料金表!$G$6:$G$8,0),""))</f>
        <v/>
      </c>
      <c r="E457" s="1" t="str">
        <f>IF(D457="","",COUNT($D$2:D457))</f>
        <v/>
      </c>
      <c r="F457" s="1" t="str">
        <f>IF(COUNTA(教室申込!$C$4)=0,"",教室申込!$C$4)</f>
        <v/>
      </c>
      <c r="G457" s="1" t="str">
        <f>IF(教室申込!D164="","",IFERROR(DATE(VALUE(LEFT(教室申込!D164,4)),VALUE(MID(教室申込!D164,6,FIND("/",教室申込!D164,6)-6)),VALUE(MID(教室申込!D164,FIND("/",教室申込!D164,6)+1,2))),""))</f>
        <v/>
      </c>
    </row>
    <row r="458" spans="1:7">
      <c r="A458" s="1">
        <f>457</f>
        <v>457</v>
      </c>
      <c r="B458" s="1">
        <f>165</f>
        <v>165</v>
      </c>
      <c r="C458" s="1" t="str">
        <f>"珠算"</f>
        <v>珠算</v>
      </c>
      <c r="D458" s="1" t="str">
        <f>IF(教室申込!F165="","",IFERROR(VALUE(教室申込!F165),""))</f>
        <v/>
      </c>
      <c r="E458" s="1" t="str">
        <f>IF(D458="","",COUNT($D$2:D458))</f>
        <v/>
      </c>
      <c r="F458" s="1" t="str">
        <f>IF(COUNTA(教室申込!$C$4)=0,"",教室申込!$C$4)</f>
        <v/>
      </c>
      <c r="G458" s="1" t="str">
        <f>IF(教室申込!D165="","",IFERROR(DATE(VALUE(LEFT(教室申込!D165,4)),VALUE(MID(教室申込!D165,6,FIND("/",教室申込!D165,6)-6)),VALUE(MID(教室申込!D165,FIND("/",教室申込!D165,6)+1,2))),""))</f>
        <v/>
      </c>
    </row>
    <row r="459" spans="1:7">
      <c r="A459" s="1">
        <f>458</f>
        <v>458</v>
      </c>
      <c r="B459" s="1">
        <f>165</f>
        <v>165</v>
      </c>
      <c r="C459" s="1" t="str">
        <f>"暗算"</f>
        <v>暗算</v>
      </c>
      <c r="D459" s="1" t="str">
        <f>IF(教室申込!G165="","",IFERROR(VALUE(教室申込!G165),""))</f>
        <v/>
      </c>
      <c r="E459" s="1" t="str">
        <f>IF(D459="","",COUNT($D$2:D459))</f>
        <v/>
      </c>
      <c r="F459" s="1" t="str">
        <f>IF(COUNTA(教室申込!$C$4)=0,"",教室申込!$C$4)</f>
        <v/>
      </c>
      <c r="G459" s="1" t="str">
        <f>IF(教室申込!D165="","",IFERROR(DATE(VALUE(LEFT(教室申込!D165,4)),VALUE(MID(教室申込!D165,6,FIND("/",教室申込!D165,6)-6)),VALUE(MID(教室申込!D165,FIND("/",教室申込!D165,6)+1,2))),""))</f>
        <v/>
      </c>
    </row>
    <row r="460" spans="1:7">
      <c r="A460" s="1">
        <f>459</f>
        <v>459</v>
      </c>
      <c r="B460" s="1">
        <f>165</f>
        <v>165</v>
      </c>
      <c r="C460" s="1" t="str">
        <f>"段位認定"</f>
        <v>段位認定</v>
      </c>
      <c r="D460" s="1" t="str">
        <f>IF(教室申込!H165="","",IFERROR(MATCH(教室申込!H165,料金表!$G$6:$G$8,0),""))</f>
        <v/>
      </c>
      <c r="E460" s="1" t="str">
        <f>IF(D460="","",COUNT($D$2:D460))</f>
        <v/>
      </c>
      <c r="F460" s="1" t="str">
        <f>IF(COUNTA(教室申込!$C$4)=0,"",教室申込!$C$4)</f>
        <v/>
      </c>
      <c r="G460" s="1" t="str">
        <f>IF(教室申込!D165="","",IFERROR(DATE(VALUE(LEFT(教室申込!D165,4)),VALUE(MID(教室申込!D165,6,FIND("/",教室申込!D165,6)-6)),VALUE(MID(教室申込!D165,FIND("/",教室申込!D165,6)+1,2))),""))</f>
        <v/>
      </c>
    </row>
    <row r="461" spans="1:7">
      <c r="A461" s="1">
        <f>460</f>
        <v>460</v>
      </c>
      <c r="B461" s="1">
        <f>166</f>
        <v>166</v>
      </c>
      <c r="C461" s="1" t="str">
        <f>"珠算"</f>
        <v>珠算</v>
      </c>
      <c r="D461" s="1" t="str">
        <f>IF(教室申込!F166="","",IFERROR(VALUE(教室申込!F166),""))</f>
        <v/>
      </c>
      <c r="E461" s="1" t="str">
        <f>IF(D461="","",COUNT($D$2:D461))</f>
        <v/>
      </c>
      <c r="F461" s="1" t="str">
        <f>IF(COUNTA(教室申込!$C$4)=0,"",教室申込!$C$4)</f>
        <v/>
      </c>
      <c r="G461" s="1" t="str">
        <f>IF(教室申込!D166="","",IFERROR(DATE(VALUE(LEFT(教室申込!D166,4)),VALUE(MID(教室申込!D166,6,FIND("/",教室申込!D166,6)-6)),VALUE(MID(教室申込!D166,FIND("/",教室申込!D166,6)+1,2))),""))</f>
        <v/>
      </c>
    </row>
    <row r="462" spans="1:7">
      <c r="A462" s="1">
        <f>461</f>
        <v>461</v>
      </c>
      <c r="B462" s="1">
        <f>166</f>
        <v>166</v>
      </c>
      <c r="C462" s="1" t="str">
        <f>"暗算"</f>
        <v>暗算</v>
      </c>
      <c r="D462" s="1" t="str">
        <f>IF(教室申込!G166="","",IFERROR(VALUE(教室申込!G166),""))</f>
        <v/>
      </c>
      <c r="E462" s="1" t="str">
        <f>IF(D462="","",COUNT($D$2:D462))</f>
        <v/>
      </c>
      <c r="F462" s="1" t="str">
        <f>IF(COUNTA(教室申込!$C$4)=0,"",教室申込!$C$4)</f>
        <v/>
      </c>
      <c r="G462" s="1" t="str">
        <f>IF(教室申込!D166="","",IFERROR(DATE(VALUE(LEFT(教室申込!D166,4)),VALUE(MID(教室申込!D166,6,FIND("/",教室申込!D166,6)-6)),VALUE(MID(教室申込!D166,FIND("/",教室申込!D166,6)+1,2))),""))</f>
        <v/>
      </c>
    </row>
    <row r="463" spans="1:7">
      <c r="A463" s="1">
        <f>462</f>
        <v>462</v>
      </c>
      <c r="B463" s="1">
        <f>166</f>
        <v>166</v>
      </c>
      <c r="C463" s="1" t="str">
        <f>"段位認定"</f>
        <v>段位認定</v>
      </c>
      <c r="D463" s="1" t="str">
        <f>IF(教室申込!H166="","",IFERROR(MATCH(教室申込!H166,料金表!$G$6:$G$8,0),""))</f>
        <v/>
      </c>
      <c r="E463" s="1" t="str">
        <f>IF(D463="","",COUNT($D$2:D463))</f>
        <v/>
      </c>
      <c r="F463" s="1" t="str">
        <f>IF(COUNTA(教室申込!$C$4)=0,"",教室申込!$C$4)</f>
        <v/>
      </c>
      <c r="G463" s="1" t="str">
        <f>IF(教室申込!D166="","",IFERROR(DATE(VALUE(LEFT(教室申込!D166,4)),VALUE(MID(教室申込!D166,6,FIND("/",教室申込!D166,6)-6)),VALUE(MID(教室申込!D166,FIND("/",教室申込!D166,6)+1,2))),""))</f>
        <v/>
      </c>
    </row>
    <row r="464" spans="1:7">
      <c r="A464" s="1">
        <f>463</f>
        <v>463</v>
      </c>
      <c r="B464" s="1">
        <f>167</f>
        <v>167</v>
      </c>
      <c r="C464" s="1" t="str">
        <f>"珠算"</f>
        <v>珠算</v>
      </c>
      <c r="D464" s="1" t="str">
        <f>IF(教室申込!F167="","",IFERROR(VALUE(教室申込!F167),""))</f>
        <v/>
      </c>
      <c r="E464" s="1" t="str">
        <f>IF(D464="","",COUNT($D$2:D464))</f>
        <v/>
      </c>
      <c r="F464" s="1" t="str">
        <f>IF(COUNTA(教室申込!$C$4)=0,"",教室申込!$C$4)</f>
        <v/>
      </c>
      <c r="G464" s="1" t="str">
        <f>IF(教室申込!D167="","",IFERROR(DATE(VALUE(LEFT(教室申込!D167,4)),VALUE(MID(教室申込!D167,6,FIND("/",教室申込!D167,6)-6)),VALUE(MID(教室申込!D167,FIND("/",教室申込!D167,6)+1,2))),""))</f>
        <v/>
      </c>
    </row>
    <row r="465" spans="1:7">
      <c r="A465" s="1">
        <f>464</f>
        <v>464</v>
      </c>
      <c r="B465" s="1">
        <f>167</f>
        <v>167</v>
      </c>
      <c r="C465" s="1" t="str">
        <f>"暗算"</f>
        <v>暗算</v>
      </c>
      <c r="D465" s="1" t="str">
        <f>IF(教室申込!G167="","",IFERROR(VALUE(教室申込!G167),""))</f>
        <v/>
      </c>
      <c r="E465" s="1" t="str">
        <f>IF(D465="","",COUNT($D$2:D465))</f>
        <v/>
      </c>
      <c r="F465" s="1" t="str">
        <f>IF(COUNTA(教室申込!$C$4)=0,"",教室申込!$C$4)</f>
        <v/>
      </c>
      <c r="G465" s="1" t="str">
        <f>IF(教室申込!D167="","",IFERROR(DATE(VALUE(LEFT(教室申込!D167,4)),VALUE(MID(教室申込!D167,6,FIND("/",教室申込!D167,6)-6)),VALUE(MID(教室申込!D167,FIND("/",教室申込!D167,6)+1,2))),""))</f>
        <v/>
      </c>
    </row>
    <row r="466" spans="1:7">
      <c r="A466" s="1">
        <f>465</f>
        <v>465</v>
      </c>
      <c r="B466" s="1">
        <f>167</f>
        <v>167</v>
      </c>
      <c r="C466" s="1" t="str">
        <f>"段位認定"</f>
        <v>段位認定</v>
      </c>
      <c r="D466" s="1" t="str">
        <f>IF(教室申込!H167="","",IFERROR(MATCH(教室申込!H167,料金表!$G$6:$G$8,0),""))</f>
        <v/>
      </c>
      <c r="E466" s="1" t="str">
        <f>IF(D466="","",COUNT($D$2:D466))</f>
        <v/>
      </c>
      <c r="F466" s="1" t="str">
        <f>IF(COUNTA(教室申込!$C$4)=0,"",教室申込!$C$4)</f>
        <v/>
      </c>
      <c r="G466" s="1" t="str">
        <f>IF(教室申込!D167="","",IFERROR(DATE(VALUE(LEFT(教室申込!D167,4)),VALUE(MID(教室申込!D167,6,FIND("/",教室申込!D167,6)-6)),VALUE(MID(教室申込!D167,FIND("/",教室申込!D167,6)+1,2))),""))</f>
        <v/>
      </c>
    </row>
    <row r="467" spans="1:7">
      <c r="A467" s="1">
        <f>466</f>
        <v>466</v>
      </c>
      <c r="B467" s="1">
        <f>168</f>
        <v>168</v>
      </c>
      <c r="C467" s="1" t="str">
        <f>"珠算"</f>
        <v>珠算</v>
      </c>
      <c r="D467" s="1" t="str">
        <f>IF(教室申込!F168="","",IFERROR(VALUE(教室申込!F168),""))</f>
        <v/>
      </c>
      <c r="E467" s="1" t="str">
        <f>IF(D467="","",COUNT($D$2:D467))</f>
        <v/>
      </c>
      <c r="F467" s="1" t="str">
        <f>IF(COUNTA(教室申込!$C$4)=0,"",教室申込!$C$4)</f>
        <v/>
      </c>
      <c r="G467" s="1" t="str">
        <f>IF(教室申込!D168="","",IFERROR(DATE(VALUE(LEFT(教室申込!D168,4)),VALUE(MID(教室申込!D168,6,FIND("/",教室申込!D168,6)-6)),VALUE(MID(教室申込!D168,FIND("/",教室申込!D168,6)+1,2))),""))</f>
        <v/>
      </c>
    </row>
    <row r="468" spans="1:7">
      <c r="A468" s="1">
        <f>467</f>
        <v>467</v>
      </c>
      <c r="B468" s="1">
        <f>168</f>
        <v>168</v>
      </c>
      <c r="C468" s="1" t="str">
        <f>"暗算"</f>
        <v>暗算</v>
      </c>
      <c r="D468" s="1" t="str">
        <f>IF(教室申込!G168="","",IFERROR(VALUE(教室申込!G168),""))</f>
        <v/>
      </c>
      <c r="E468" s="1" t="str">
        <f>IF(D468="","",COUNT($D$2:D468))</f>
        <v/>
      </c>
      <c r="F468" s="1" t="str">
        <f>IF(COUNTA(教室申込!$C$4)=0,"",教室申込!$C$4)</f>
        <v/>
      </c>
      <c r="G468" s="1" t="str">
        <f>IF(教室申込!D168="","",IFERROR(DATE(VALUE(LEFT(教室申込!D168,4)),VALUE(MID(教室申込!D168,6,FIND("/",教室申込!D168,6)-6)),VALUE(MID(教室申込!D168,FIND("/",教室申込!D168,6)+1,2))),""))</f>
        <v/>
      </c>
    </row>
    <row r="469" spans="1:7">
      <c r="A469" s="1">
        <f>468</f>
        <v>468</v>
      </c>
      <c r="B469" s="1">
        <f>168</f>
        <v>168</v>
      </c>
      <c r="C469" s="1" t="str">
        <f>"段位認定"</f>
        <v>段位認定</v>
      </c>
      <c r="D469" s="1" t="str">
        <f>IF(教室申込!H168="","",IFERROR(MATCH(教室申込!H168,料金表!$G$6:$G$8,0),""))</f>
        <v/>
      </c>
      <c r="E469" s="1" t="str">
        <f>IF(D469="","",COUNT($D$2:D469))</f>
        <v/>
      </c>
      <c r="F469" s="1" t="str">
        <f>IF(COUNTA(教室申込!$C$4)=0,"",教室申込!$C$4)</f>
        <v/>
      </c>
      <c r="G469" s="1" t="str">
        <f>IF(教室申込!D168="","",IFERROR(DATE(VALUE(LEFT(教室申込!D168,4)),VALUE(MID(教室申込!D168,6,FIND("/",教室申込!D168,6)-6)),VALUE(MID(教室申込!D168,FIND("/",教室申込!D168,6)+1,2))),""))</f>
        <v/>
      </c>
    </row>
    <row r="470" spans="1:7">
      <c r="A470" s="1">
        <f>469</f>
        <v>469</v>
      </c>
      <c r="B470" s="1">
        <f>169</f>
        <v>169</v>
      </c>
      <c r="C470" s="1" t="str">
        <f>"珠算"</f>
        <v>珠算</v>
      </c>
      <c r="D470" s="1" t="str">
        <f>IF(教室申込!F169="","",IFERROR(VALUE(教室申込!F169),""))</f>
        <v/>
      </c>
      <c r="E470" s="1" t="str">
        <f>IF(D470="","",COUNT($D$2:D470))</f>
        <v/>
      </c>
      <c r="F470" s="1" t="str">
        <f>IF(COUNTA(教室申込!$C$4)=0,"",教室申込!$C$4)</f>
        <v/>
      </c>
      <c r="G470" s="1" t="str">
        <f>IF(教室申込!D169="","",IFERROR(DATE(VALUE(LEFT(教室申込!D169,4)),VALUE(MID(教室申込!D169,6,FIND("/",教室申込!D169,6)-6)),VALUE(MID(教室申込!D169,FIND("/",教室申込!D169,6)+1,2))),""))</f>
        <v/>
      </c>
    </row>
    <row r="471" spans="1:7">
      <c r="A471" s="1">
        <f>470</f>
        <v>470</v>
      </c>
      <c r="B471" s="1">
        <f>169</f>
        <v>169</v>
      </c>
      <c r="C471" s="1" t="str">
        <f>"暗算"</f>
        <v>暗算</v>
      </c>
      <c r="D471" s="1" t="str">
        <f>IF(教室申込!G169="","",IFERROR(VALUE(教室申込!G169),""))</f>
        <v/>
      </c>
      <c r="E471" s="1" t="str">
        <f>IF(D471="","",COUNT($D$2:D471))</f>
        <v/>
      </c>
      <c r="F471" s="1" t="str">
        <f>IF(COUNTA(教室申込!$C$4)=0,"",教室申込!$C$4)</f>
        <v/>
      </c>
      <c r="G471" s="1" t="str">
        <f>IF(教室申込!D169="","",IFERROR(DATE(VALUE(LEFT(教室申込!D169,4)),VALUE(MID(教室申込!D169,6,FIND("/",教室申込!D169,6)-6)),VALUE(MID(教室申込!D169,FIND("/",教室申込!D169,6)+1,2))),""))</f>
        <v/>
      </c>
    </row>
    <row r="472" spans="1:7">
      <c r="A472" s="1">
        <f>471</f>
        <v>471</v>
      </c>
      <c r="B472" s="1">
        <f>169</f>
        <v>169</v>
      </c>
      <c r="C472" s="1" t="str">
        <f>"段位認定"</f>
        <v>段位認定</v>
      </c>
      <c r="D472" s="1" t="str">
        <f>IF(教室申込!H169="","",IFERROR(MATCH(教室申込!H169,料金表!$G$6:$G$8,0),""))</f>
        <v/>
      </c>
      <c r="E472" s="1" t="str">
        <f>IF(D472="","",COUNT($D$2:D472))</f>
        <v/>
      </c>
      <c r="F472" s="1" t="str">
        <f>IF(COUNTA(教室申込!$C$4)=0,"",教室申込!$C$4)</f>
        <v/>
      </c>
      <c r="G472" s="1" t="str">
        <f>IF(教室申込!D169="","",IFERROR(DATE(VALUE(LEFT(教室申込!D169,4)),VALUE(MID(教室申込!D169,6,FIND("/",教室申込!D169,6)-6)),VALUE(MID(教室申込!D169,FIND("/",教室申込!D169,6)+1,2))),""))</f>
        <v/>
      </c>
    </row>
    <row r="473" spans="1:7">
      <c r="A473" s="1">
        <f>472</f>
        <v>472</v>
      </c>
      <c r="B473" s="1">
        <f>170</f>
        <v>170</v>
      </c>
      <c r="C473" s="1" t="str">
        <f>"珠算"</f>
        <v>珠算</v>
      </c>
      <c r="D473" s="1" t="str">
        <f>IF(教室申込!F170="","",IFERROR(VALUE(教室申込!F170),""))</f>
        <v/>
      </c>
      <c r="E473" s="1" t="str">
        <f>IF(D473="","",COUNT($D$2:D473))</f>
        <v/>
      </c>
      <c r="F473" s="1" t="str">
        <f>IF(COUNTA(教室申込!$C$4)=0,"",教室申込!$C$4)</f>
        <v/>
      </c>
      <c r="G473" s="1" t="str">
        <f>IF(教室申込!D170="","",IFERROR(DATE(VALUE(LEFT(教室申込!D170,4)),VALUE(MID(教室申込!D170,6,FIND("/",教室申込!D170,6)-6)),VALUE(MID(教室申込!D170,FIND("/",教室申込!D170,6)+1,2))),""))</f>
        <v/>
      </c>
    </row>
    <row r="474" spans="1:7">
      <c r="A474" s="1">
        <f>473</f>
        <v>473</v>
      </c>
      <c r="B474" s="1">
        <f>170</f>
        <v>170</v>
      </c>
      <c r="C474" s="1" t="str">
        <f>"暗算"</f>
        <v>暗算</v>
      </c>
      <c r="D474" s="1" t="str">
        <f>IF(教室申込!G170="","",IFERROR(VALUE(教室申込!G170),""))</f>
        <v/>
      </c>
      <c r="E474" s="1" t="str">
        <f>IF(D474="","",COUNT($D$2:D474))</f>
        <v/>
      </c>
      <c r="F474" s="1" t="str">
        <f>IF(COUNTA(教室申込!$C$4)=0,"",教室申込!$C$4)</f>
        <v/>
      </c>
      <c r="G474" s="1" t="str">
        <f>IF(教室申込!D170="","",IFERROR(DATE(VALUE(LEFT(教室申込!D170,4)),VALUE(MID(教室申込!D170,6,FIND("/",教室申込!D170,6)-6)),VALUE(MID(教室申込!D170,FIND("/",教室申込!D170,6)+1,2))),""))</f>
        <v/>
      </c>
    </row>
    <row r="475" spans="1:7">
      <c r="A475" s="1">
        <f>474</f>
        <v>474</v>
      </c>
      <c r="B475" s="1">
        <f>170</f>
        <v>170</v>
      </c>
      <c r="C475" s="1" t="str">
        <f>"段位認定"</f>
        <v>段位認定</v>
      </c>
      <c r="D475" s="1" t="str">
        <f>IF(教室申込!H170="","",IFERROR(MATCH(教室申込!H170,料金表!$G$6:$G$8,0),""))</f>
        <v/>
      </c>
      <c r="E475" s="1" t="str">
        <f>IF(D475="","",COUNT($D$2:D475))</f>
        <v/>
      </c>
      <c r="F475" s="1" t="str">
        <f>IF(COUNTA(教室申込!$C$4)=0,"",教室申込!$C$4)</f>
        <v/>
      </c>
      <c r="G475" s="1" t="str">
        <f>IF(教室申込!D170="","",IFERROR(DATE(VALUE(LEFT(教室申込!D170,4)),VALUE(MID(教室申込!D170,6,FIND("/",教室申込!D170,6)-6)),VALUE(MID(教室申込!D170,FIND("/",教室申込!D170,6)+1,2))),""))</f>
        <v/>
      </c>
    </row>
    <row r="476" spans="1:7">
      <c r="A476" s="1">
        <f>475</f>
        <v>475</v>
      </c>
      <c r="B476" s="1">
        <f>171</f>
        <v>171</v>
      </c>
      <c r="C476" s="1" t="str">
        <f>"珠算"</f>
        <v>珠算</v>
      </c>
      <c r="D476" s="1" t="str">
        <f>IF(教室申込!F171="","",IFERROR(VALUE(教室申込!F171),""))</f>
        <v/>
      </c>
      <c r="E476" s="1" t="str">
        <f>IF(D476="","",COUNT($D$2:D476))</f>
        <v/>
      </c>
      <c r="F476" s="1" t="str">
        <f>IF(COUNTA(教室申込!$C$4)=0,"",教室申込!$C$4)</f>
        <v/>
      </c>
      <c r="G476" s="1" t="str">
        <f>IF(教室申込!D171="","",IFERROR(DATE(VALUE(LEFT(教室申込!D171,4)),VALUE(MID(教室申込!D171,6,FIND("/",教室申込!D171,6)-6)),VALUE(MID(教室申込!D171,FIND("/",教室申込!D171,6)+1,2))),""))</f>
        <v/>
      </c>
    </row>
    <row r="477" spans="1:7">
      <c r="A477" s="1">
        <f>476</f>
        <v>476</v>
      </c>
      <c r="B477" s="1">
        <f>171</f>
        <v>171</v>
      </c>
      <c r="C477" s="1" t="str">
        <f>"暗算"</f>
        <v>暗算</v>
      </c>
      <c r="D477" s="1" t="str">
        <f>IF(教室申込!G171="","",IFERROR(VALUE(教室申込!G171),""))</f>
        <v/>
      </c>
      <c r="E477" s="1" t="str">
        <f>IF(D477="","",COUNT($D$2:D477))</f>
        <v/>
      </c>
      <c r="F477" s="1" t="str">
        <f>IF(COUNTA(教室申込!$C$4)=0,"",教室申込!$C$4)</f>
        <v/>
      </c>
      <c r="G477" s="1" t="str">
        <f>IF(教室申込!D171="","",IFERROR(DATE(VALUE(LEFT(教室申込!D171,4)),VALUE(MID(教室申込!D171,6,FIND("/",教室申込!D171,6)-6)),VALUE(MID(教室申込!D171,FIND("/",教室申込!D171,6)+1,2))),""))</f>
        <v/>
      </c>
    </row>
    <row r="478" spans="1:7">
      <c r="A478" s="1">
        <f>477</f>
        <v>477</v>
      </c>
      <c r="B478" s="1">
        <f>171</f>
        <v>171</v>
      </c>
      <c r="C478" s="1" t="str">
        <f>"段位認定"</f>
        <v>段位認定</v>
      </c>
      <c r="D478" s="1" t="str">
        <f>IF(教室申込!H171="","",IFERROR(MATCH(教室申込!H171,料金表!$G$6:$G$8,0),""))</f>
        <v/>
      </c>
      <c r="E478" s="1" t="str">
        <f>IF(D478="","",COUNT($D$2:D478))</f>
        <v/>
      </c>
      <c r="F478" s="1" t="str">
        <f>IF(COUNTA(教室申込!$C$4)=0,"",教室申込!$C$4)</f>
        <v/>
      </c>
      <c r="G478" s="1" t="str">
        <f>IF(教室申込!D171="","",IFERROR(DATE(VALUE(LEFT(教室申込!D171,4)),VALUE(MID(教室申込!D171,6,FIND("/",教室申込!D171,6)-6)),VALUE(MID(教室申込!D171,FIND("/",教室申込!D171,6)+1,2))),""))</f>
        <v/>
      </c>
    </row>
    <row r="479" spans="1:7">
      <c r="A479" s="1">
        <f>478</f>
        <v>478</v>
      </c>
      <c r="B479" s="1">
        <f>172</f>
        <v>172</v>
      </c>
      <c r="C479" s="1" t="str">
        <f>"珠算"</f>
        <v>珠算</v>
      </c>
      <c r="D479" s="1" t="str">
        <f>IF(教室申込!F172="","",IFERROR(VALUE(教室申込!F172),""))</f>
        <v/>
      </c>
      <c r="E479" s="1" t="str">
        <f>IF(D479="","",COUNT($D$2:D479))</f>
        <v/>
      </c>
      <c r="F479" s="1" t="str">
        <f>IF(COUNTA(教室申込!$C$4)=0,"",教室申込!$C$4)</f>
        <v/>
      </c>
      <c r="G479" s="1" t="str">
        <f>IF(教室申込!D172="","",IFERROR(DATE(VALUE(LEFT(教室申込!D172,4)),VALUE(MID(教室申込!D172,6,FIND("/",教室申込!D172,6)-6)),VALUE(MID(教室申込!D172,FIND("/",教室申込!D172,6)+1,2))),""))</f>
        <v/>
      </c>
    </row>
    <row r="480" spans="1:7">
      <c r="A480" s="1">
        <f>479</f>
        <v>479</v>
      </c>
      <c r="B480" s="1">
        <f>172</f>
        <v>172</v>
      </c>
      <c r="C480" s="1" t="str">
        <f>"暗算"</f>
        <v>暗算</v>
      </c>
      <c r="D480" s="1" t="str">
        <f>IF(教室申込!G172="","",IFERROR(VALUE(教室申込!G172),""))</f>
        <v/>
      </c>
      <c r="E480" s="1" t="str">
        <f>IF(D480="","",COUNT($D$2:D480))</f>
        <v/>
      </c>
      <c r="F480" s="1" t="str">
        <f>IF(COUNTA(教室申込!$C$4)=0,"",教室申込!$C$4)</f>
        <v/>
      </c>
      <c r="G480" s="1" t="str">
        <f>IF(教室申込!D172="","",IFERROR(DATE(VALUE(LEFT(教室申込!D172,4)),VALUE(MID(教室申込!D172,6,FIND("/",教室申込!D172,6)-6)),VALUE(MID(教室申込!D172,FIND("/",教室申込!D172,6)+1,2))),""))</f>
        <v/>
      </c>
    </row>
    <row r="481" spans="1:7">
      <c r="A481" s="1">
        <f>480</f>
        <v>480</v>
      </c>
      <c r="B481" s="1">
        <f>172</f>
        <v>172</v>
      </c>
      <c r="C481" s="1" t="str">
        <f>"段位認定"</f>
        <v>段位認定</v>
      </c>
      <c r="D481" s="1" t="str">
        <f>IF(教室申込!H172="","",IFERROR(MATCH(教室申込!H172,料金表!$G$6:$G$8,0),""))</f>
        <v/>
      </c>
      <c r="E481" s="1" t="str">
        <f>IF(D481="","",COUNT($D$2:D481))</f>
        <v/>
      </c>
      <c r="F481" s="1" t="str">
        <f>IF(COUNTA(教室申込!$C$4)=0,"",教室申込!$C$4)</f>
        <v/>
      </c>
      <c r="G481" s="1" t="str">
        <f>IF(教室申込!D172="","",IFERROR(DATE(VALUE(LEFT(教室申込!D172,4)),VALUE(MID(教室申込!D172,6,FIND("/",教室申込!D172,6)-6)),VALUE(MID(教室申込!D172,FIND("/",教室申込!D172,6)+1,2))),""))</f>
        <v/>
      </c>
    </row>
    <row r="482" spans="1:7">
      <c r="A482" s="1">
        <f>481</f>
        <v>481</v>
      </c>
      <c r="B482" s="1">
        <f>173</f>
        <v>173</v>
      </c>
      <c r="C482" s="1" t="str">
        <f>"珠算"</f>
        <v>珠算</v>
      </c>
      <c r="D482" s="1" t="str">
        <f>IF(教室申込!F173="","",IFERROR(VALUE(教室申込!F173),""))</f>
        <v/>
      </c>
      <c r="E482" s="1" t="str">
        <f>IF(D482="","",COUNT($D$2:D482))</f>
        <v/>
      </c>
      <c r="F482" s="1" t="str">
        <f>IF(COUNTA(教室申込!$C$4)=0,"",教室申込!$C$4)</f>
        <v/>
      </c>
      <c r="G482" s="1" t="str">
        <f>IF(教室申込!D173="","",IFERROR(DATE(VALUE(LEFT(教室申込!D173,4)),VALUE(MID(教室申込!D173,6,FIND("/",教室申込!D173,6)-6)),VALUE(MID(教室申込!D173,FIND("/",教室申込!D173,6)+1,2))),""))</f>
        <v/>
      </c>
    </row>
    <row r="483" spans="1:7">
      <c r="A483" s="1">
        <f>482</f>
        <v>482</v>
      </c>
      <c r="B483" s="1">
        <f>173</f>
        <v>173</v>
      </c>
      <c r="C483" s="1" t="str">
        <f>"暗算"</f>
        <v>暗算</v>
      </c>
      <c r="D483" s="1" t="str">
        <f>IF(教室申込!G173="","",IFERROR(VALUE(教室申込!G173),""))</f>
        <v/>
      </c>
      <c r="E483" s="1" t="str">
        <f>IF(D483="","",COUNT($D$2:D483))</f>
        <v/>
      </c>
      <c r="F483" s="1" t="str">
        <f>IF(COUNTA(教室申込!$C$4)=0,"",教室申込!$C$4)</f>
        <v/>
      </c>
      <c r="G483" s="1" t="str">
        <f>IF(教室申込!D173="","",IFERROR(DATE(VALUE(LEFT(教室申込!D173,4)),VALUE(MID(教室申込!D173,6,FIND("/",教室申込!D173,6)-6)),VALUE(MID(教室申込!D173,FIND("/",教室申込!D173,6)+1,2))),""))</f>
        <v/>
      </c>
    </row>
    <row r="484" spans="1:7">
      <c r="A484" s="1">
        <f>483</f>
        <v>483</v>
      </c>
      <c r="B484" s="1">
        <f>173</f>
        <v>173</v>
      </c>
      <c r="C484" s="1" t="str">
        <f>"段位認定"</f>
        <v>段位認定</v>
      </c>
      <c r="D484" s="1" t="str">
        <f>IF(教室申込!H173="","",IFERROR(MATCH(教室申込!H173,料金表!$G$6:$G$8,0),""))</f>
        <v/>
      </c>
      <c r="E484" s="1" t="str">
        <f>IF(D484="","",COUNT($D$2:D484))</f>
        <v/>
      </c>
      <c r="F484" s="1" t="str">
        <f>IF(COUNTA(教室申込!$C$4)=0,"",教室申込!$C$4)</f>
        <v/>
      </c>
      <c r="G484" s="1" t="str">
        <f>IF(教室申込!D173="","",IFERROR(DATE(VALUE(LEFT(教室申込!D173,4)),VALUE(MID(教室申込!D173,6,FIND("/",教室申込!D173,6)-6)),VALUE(MID(教室申込!D173,FIND("/",教室申込!D173,6)+1,2))),""))</f>
        <v/>
      </c>
    </row>
    <row r="485" spans="1:7">
      <c r="A485" s="1">
        <f>484</f>
        <v>484</v>
      </c>
      <c r="B485" s="1">
        <f>174</f>
        <v>174</v>
      </c>
      <c r="C485" s="1" t="str">
        <f>"珠算"</f>
        <v>珠算</v>
      </c>
      <c r="D485" s="1" t="str">
        <f>IF(教室申込!F174="","",IFERROR(VALUE(教室申込!F174),""))</f>
        <v/>
      </c>
      <c r="E485" s="1" t="str">
        <f>IF(D485="","",COUNT($D$2:D485))</f>
        <v/>
      </c>
      <c r="F485" s="1" t="str">
        <f>IF(COUNTA(教室申込!$C$4)=0,"",教室申込!$C$4)</f>
        <v/>
      </c>
      <c r="G485" s="1" t="str">
        <f>IF(教室申込!D174="","",IFERROR(DATE(VALUE(LEFT(教室申込!D174,4)),VALUE(MID(教室申込!D174,6,FIND("/",教室申込!D174,6)-6)),VALUE(MID(教室申込!D174,FIND("/",教室申込!D174,6)+1,2))),""))</f>
        <v/>
      </c>
    </row>
    <row r="486" spans="1:7">
      <c r="A486" s="1">
        <f>485</f>
        <v>485</v>
      </c>
      <c r="B486" s="1">
        <f>174</f>
        <v>174</v>
      </c>
      <c r="C486" s="1" t="str">
        <f>"暗算"</f>
        <v>暗算</v>
      </c>
      <c r="D486" s="1" t="str">
        <f>IF(教室申込!G174="","",IFERROR(VALUE(教室申込!G174),""))</f>
        <v/>
      </c>
      <c r="E486" s="1" t="str">
        <f>IF(D486="","",COUNT($D$2:D486))</f>
        <v/>
      </c>
      <c r="F486" s="1" t="str">
        <f>IF(COUNTA(教室申込!$C$4)=0,"",教室申込!$C$4)</f>
        <v/>
      </c>
      <c r="G486" s="1" t="str">
        <f>IF(教室申込!D174="","",IFERROR(DATE(VALUE(LEFT(教室申込!D174,4)),VALUE(MID(教室申込!D174,6,FIND("/",教室申込!D174,6)-6)),VALUE(MID(教室申込!D174,FIND("/",教室申込!D174,6)+1,2))),""))</f>
        <v/>
      </c>
    </row>
    <row r="487" spans="1:7">
      <c r="A487" s="1">
        <f>486</f>
        <v>486</v>
      </c>
      <c r="B487" s="1">
        <f>174</f>
        <v>174</v>
      </c>
      <c r="C487" s="1" t="str">
        <f>"段位認定"</f>
        <v>段位認定</v>
      </c>
      <c r="D487" s="1" t="str">
        <f>IF(教室申込!H174="","",IFERROR(MATCH(教室申込!H174,料金表!$G$6:$G$8,0),""))</f>
        <v/>
      </c>
      <c r="E487" s="1" t="str">
        <f>IF(D487="","",COUNT($D$2:D487))</f>
        <v/>
      </c>
      <c r="F487" s="1" t="str">
        <f>IF(COUNTA(教室申込!$C$4)=0,"",教室申込!$C$4)</f>
        <v/>
      </c>
      <c r="G487" s="1" t="str">
        <f>IF(教室申込!D174="","",IFERROR(DATE(VALUE(LEFT(教室申込!D174,4)),VALUE(MID(教室申込!D174,6,FIND("/",教室申込!D174,6)-6)),VALUE(MID(教室申込!D174,FIND("/",教室申込!D174,6)+1,2))),""))</f>
        <v/>
      </c>
    </row>
    <row r="488" spans="1:7">
      <c r="A488" s="1">
        <f>487</f>
        <v>487</v>
      </c>
      <c r="B488" s="1">
        <f>175</f>
        <v>175</v>
      </c>
      <c r="C488" s="1" t="str">
        <f>"珠算"</f>
        <v>珠算</v>
      </c>
      <c r="D488" s="1" t="str">
        <f>IF(教室申込!F175="","",IFERROR(VALUE(教室申込!F175),""))</f>
        <v/>
      </c>
      <c r="E488" s="1" t="str">
        <f>IF(D488="","",COUNT($D$2:D488))</f>
        <v/>
      </c>
      <c r="F488" s="1" t="str">
        <f>IF(COUNTA(教室申込!$C$4)=0,"",教室申込!$C$4)</f>
        <v/>
      </c>
      <c r="G488" s="1" t="str">
        <f>IF(教室申込!D175="","",IFERROR(DATE(VALUE(LEFT(教室申込!D175,4)),VALUE(MID(教室申込!D175,6,FIND("/",教室申込!D175,6)-6)),VALUE(MID(教室申込!D175,FIND("/",教室申込!D175,6)+1,2))),""))</f>
        <v/>
      </c>
    </row>
    <row r="489" spans="1:7">
      <c r="A489" s="1">
        <f>488</f>
        <v>488</v>
      </c>
      <c r="B489" s="1">
        <f>175</f>
        <v>175</v>
      </c>
      <c r="C489" s="1" t="str">
        <f>"暗算"</f>
        <v>暗算</v>
      </c>
      <c r="D489" s="1" t="str">
        <f>IF(教室申込!G175="","",IFERROR(VALUE(教室申込!G175),""))</f>
        <v/>
      </c>
      <c r="E489" s="1" t="str">
        <f>IF(D489="","",COUNT($D$2:D489))</f>
        <v/>
      </c>
      <c r="F489" s="1" t="str">
        <f>IF(COUNTA(教室申込!$C$4)=0,"",教室申込!$C$4)</f>
        <v/>
      </c>
      <c r="G489" s="1" t="str">
        <f>IF(教室申込!D175="","",IFERROR(DATE(VALUE(LEFT(教室申込!D175,4)),VALUE(MID(教室申込!D175,6,FIND("/",教室申込!D175,6)-6)),VALUE(MID(教室申込!D175,FIND("/",教室申込!D175,6)+1,2))),""))</f>
        <v/>
      </c>
    </row>
    <row r="490" spans="1:7">
      <c r="A490" s="1">
        <f>489</f>
        <v>489</v>
      </c>
      <c r="B490" s="1">
        <f>175</f>
        <v>175</v>
      </c>
      <c r="C490" s="1" t="str">
        <f>"段位認定"</f>
        <v>段位認定</v>
      </c>
      <c r="D490" s="1" t="str">
        <f>IF(教室申込!H175="","",IFERROR(MATCH(教室申込!H175,料金表!$G$6:$G$8,0),""))</f>
        <v/>
      </c>
      <c r="E490" s="1" t="str">
        <f>IF(D490="","",COUNT($D$2:D490))</f>
        <v/>
      </c>
      <c r="F490" s="1" t="str">
        <f>IF(COUNTA(教室申込!$C$4)=0,"",教室申込!$C$4)</f>
        <v/>
      </c>
      <c r="G490" s="1" t="str">
        <f>IF(教室申込!D175="","",IFERROR(DATE(VALUE(LEFT(教室申込!D175,4)),VALUE(MID(教室申込!D175,6,FIND("/",教室申込!D175,6)-6)),VALUE(MID(教室申込!D175,FIND("/",教室申込!D175,6)+1,2))),""))</f>
        <v/>
      </c>
    </row>
    <row r="491" spans="1:7">
      <c r="A491" s="1">
        <f>490</f>
        <v>490</v>
      </c>
      <c r="B491" s="1">
        <f>176</f>
        <v>176</v>
      </c>
      <c r="C491" s="1" t="str">
        <f>"珠算"</f>
        <v>珠算</v>
      </c>
      <c r="D491" s="1" t="str">
        <f>IF(教室申込!F176="","",IFERROR(VALUE(教室申込!F176),""))</f>
        <v/>
      </c>
      <c r="E491" s="1" t="str">
        <f>IF(D491="","",COUNT($D$2:D491))</f>
        <v/>
      </c>
      <c r="F491" s="1" t="str">
        <f>IF(COUNTA(教室申込!$C$4)=0,"",教室申込!$C$4)</f>
        <v/>
      </c>
      <c r="G491" s="1" t="str">
        <f>IF(教室申込!D176="","",IFERROR(DATE(VALUE(LEFT(教室申込!D176,4)),VALUE(MID(教室申込!D176,6,FIND("/",教室申込!D176,6)-6)),VALUE(MID(教室申込!D176,FIND("/",教室申込!D176,6)+1,2))),""))</f>
        <v/>
      </c>
    </row>
    <row r="492" spans="1:7">
      <c r="A492" s="1">
        <f>491</f>
        <v>491</v>
      </c>
      <c r="B492" s="1">
        <f>176</f>
        <v>176</v>
      </c>
      <c r="C492" s="1" t="str">
        <f>"暗算"</f>
        <v>暗算</v>
      </c>
      <c r="D492" s="1" t="str">
        <f>IF(教室申込!G176="","",IFERROR(VALUE(教室申込!G176),""))</f>
        <v/>
      </c>
      <c r="E492" s="1" t="str">
        <f>IF(D492="","",COUNT($D$2:D492))</f>
        <v/>
      </c>
      <c r="F492" s="1" t="str">
        <f>IF(COUNTA(教室申込!$C$4)=0,"",教室申込!$C$4)</f>
        <v/>
      </c>
      <c r="G492" s="1" t="str">
        <f>IF(教室申込!D176="","",IFERROR(DATE(VALUE(LEFT(教室申込!D176,4)),VALUE(MID(教室申込!D176,6,FIND("/",教室申込!D176,6)-6)),VALUE(MID(教室申込!D176,FIND("/",教室申込!D176,6)+1,2))),""))</f>
        <v/>
      </c>
    </row>
    <row r="493" spans="1:7">
      <c r="A493" s="1">
        <f>492</f>
        <v>492</v>
      </c>
      <c r="B493" s="1">
        <f>176</f>
        <v>176</v>
      </c>
      <c r="C493" s="1" t="str">
        <f>"段位認定"</f>
        <v>段位認定</v>
      </c>
      <c r="D493" s="1" t="str">
        <f>IF(教室申込!H176="","",IFERROR(MATCH(教室申込!H176,料金表!$G$6:$G$8,0),""))</f>
        <v/>
      </c>
      <c r="E493" s="1" t="str">
        <f>IF(D493="","",COUNT($D$2:D493))</f>
        <v/>
      </c>
      <c r="F493" s="1" t="str">
        <f>IF(COUNTA(教室申込!$C$4)=0,"",教室申込!$C$4)</f>
        <v/>
      </c>
      <c r="G493" s="1" t="str">
        <f>IF(教室申込!D176="","",IFERROR(DATE(VALUE(LEFT(教室申込!D176,4)),VALUE(MID(教室申込!D176,6,FIND("/",教室申込!D176,6)-6)),VALUE(MID(教室申込!D176,FIND("/",教室申込!D176,6)+1,2))),""))</f>
        <v/>
      </c>
    </row>
    <row r="494" spans="1:7">
      <c r="A494" s="1">
        <f>493</f>
        <v>493</v>
      </c>
      <c r="B494" s="1">
        <f>177</f>
        <v>177</v>
      </c>
      <c r="C494" s="1" t="str">
        <f>"珠算"</f>
        <v>珠算</v>
      </c>
      <c r="D494" s="1" t="str">
        <f>IF(教室申込!F177="","",IFERROR(VALUE(教室申込!F177),""))</f>
        <v/>
      </c>
      <c r="E494" s="1" t="str">
        <f>IF(D494="","",COUNT($D$2:D494))</f>
        <v/>
      </c>
      <c r="F494" s="1" t="str">
        <f>IF(COUNTA(教室申込!$C$4)=0,"",教室申込!$C$4)</f>
        <v/>
      </c>
      <c r="G494" s="1" t="str">
        <f>IF(教室申込!D177="","",IFERROR(DATE(VALUE(LEFT(教室申込!D177,4)),VALUE(MID(教室申込!D177,6,FIND("/",教室申込!D177,6)-6)),VALUE(MID(教室申込!D177,FIND("/",教室申込!D177,6)+1,2))),""))</f>
        <v/>
      </c>
    </row>
    <row r="495" spans="1:7">
      <c r="A495" s="1">
        <f>494</f>
        <v>494</v>
      </c>
      <c r="B495" s="1">
        <f>177</f>
        <v>177</v>
      </c>
      <c r="C495" s="1" t="str">
        <f>"暗算"</f>
        <v>暗算</v>
      </c>
      <c r="D495" s="1" t="str">
        <f>IF(教室申込!G177="","",IFERROR(VALUE(教室申込!G177),""))</f>
        <v/>
      </c>
      <c r="E495" s="1" t="str">
        <f>IF(D495="","",COUNT($D$2:D495))</f>
        <v/>
      </c>
      <c r="F495" s="1" t="str">
        <f>IF(COUNTA(教室申込!$C$4)=0,"",教室申込!$C$4)</f>
        <v/>
      </c>
      <c r="G495" s="1" t="str">
        <f>IF(教室申込!D177="","",IFERROR(DATE(VALUE(LEFT(教室申込!D177,4)),VALUE(MID(教室申込!D177,6,FIND("/",教室申込!D177,6)-6)),VALUE(MID(教室申込!D177,FIND("/",教室申込!D177,6)+1,2))),""))</f>
        <v/>
      </c>
    </row>
    <row r="496" spans="1:7">
      <c r="A496" s="1">
        <f>495</f>
        <v>495</v>
      </c>
      <c r="B496" s="1">
        <f>177</f>
        <v>177</v>
      </c>
      <c r="C496" s="1" t="str">
        <f>"段位認定"</f>
        <v>段位認定</v>
      </c>
      <c r="D496" s="1" t="str">
        <f>IF(教室申込!H177="","",IFERROR(MATCH(教室申込!H177,料金表!$G$6:$G$8,0),""))</f>
        <v/>
      </c>
      <c r="E496" s="1" t="str">
        <f>IF(D496="","",COUNT($D$2:D496))</f>
        <v/>
      </c>
      <c r="F496" s="1" t="str">
        <f>IF(COUNTA(教室申込!$C$4)=0,"",教室申込!$C$4)</f>
        <v/>
      </c>
      <c r="G496" s="1" t="str">
        <f>IF(教室申込!D177="","",IFERROR(DATE(VALUE(LEFT(教室申込!D177,4)),VALUE(MID(教室申込!D177,6,FIND("/",教室申込!D177,6)-6)),VALUE(MID(教室申込!D177,FIND("/",教室申込!D177,6)+1,2))),""))</f>
        <v/>
      </c>
    </row>
    <row r="497" spans="1:7">
      <c r="A497" s="1">
        <f>496</f>
        <v>496</v>
      </c>
      <c r="B497" s="1">
        <f>178</f>
        <v>178</v>
      </c>
      <c r="C497" s="1" t="str">
        <f>"珠算"</f>
        <v>珠算</v>
      </c>
      <c r="D497" s="1" t="str">
        <f>IF(教室申込!F178="","",IFERROR(VALUE(教室申込!F178),""))</f>
        <v/>
      </c>
      <c r="E497" s="1" t="str">
        <f>IF(D497="","",COUNT($D$2:D497))</f>
        <v/>
      </c>
      <c r="F497" s="1" t="str">
        <f>IF(COUNTA(教室申込!$C$4)=0,"",教室申込!$C$4)</f>
        <v/>
      </c>
      <c r="G497" s="1" t="str">
        <f>IF(教室申込!D178="","",IFERROR(DATE(VALUE(LEFT(教室申込!D178,4)),VALUE(MID(教室申込!D178,6,FIND("/",教室申込!D178,6)-6)),VALUE(MID(教室申込!D178,FIND("/",教室申込!D178,6)+1,2))),""))</f>
        <v/>
      </c>
    </row>
    <row r="498" spans="1:7">
      <c r="A498" s="1">
        <f>497</f>
        <v>497</v>
      </c>
      <c r="B498" s="1">
        <f>178</f>
        <v>178</v>
      </c>
      <c r="C498" s="1" t="str">
        <f>"暗算"</f>
        <v>暗算</v>
      </c>
      <c r="D498" s="1" t="str">
        <f>IF(教室申込!G178="","",IFERROR(VALUE(教室申込!G178),""))</f>
        <v/>
      </c>
      <c r="E498" s="1" t="str">
        <f>IF(D498="","",COUNT($D$2:D498))</f>
        <v/>
      </c>
      <c r="F498" s="1" t="str">
        <f>IF(COUNTA(教室申込!$C$4)=0,"",教室申込!$C$4)</f>
        <v/>
      </c>
      <c r="G498" s="1" t="str">
        <f>IF(教室申込!D178="","",IFERROR(DATE(VALUE(LEFT(教室申込!D178,4)),VALUE(MID(教室申込!D178,6,FIND("/",教室申込!D178,6)-6)),VALUE(MID(教室申込!D178,FIND("/",教室申込!D178,6)+1,2))),""))</f>
        <v/>
      </c>
    </row>
    <row r="499" spans="1:7">
      <c r="A499" s="1">
        <f>498</f>
        <v>498</v>
      </c>
      <c r="B499" s="1">
        <f>178</f>
        <v>178</v>
      </c>
      <c r="C499" s="1" t="str">
        <f>"段位認定"</f>
        <v>段位認定</v>
      </c>
      <c r="D499" s="1" t="str">
        <f>IF(教室申込!H178="","",IFERROR(MATCH(教室申込!H178,料金表!$G$6:$G$8,0),""))</f>
        <v/>
      </c>
      <c r="E499" s="1" t="str">
        <f>IF(D499="","",COUNT($D$2:D499))</f>
        <v/>
      </c>
      <c r="F499" s="1" t="str">
        <f>IF(COUNTA(教室申込!$C$4)=0,"",教室申込!$C$4)</f>
        <v/>
      </c>
      <c r="G499" s="1" t="str">
        <f>IF(教室申込!D178="","",IFERROR(DATE(VALUE(LEFT(教室申込!D178,4)),VALUE(MID(教室申込!D178,6,FIND("/",教室申込!D178,6)-6)),VALUE(MID(教室申込!D178,FIND("/",教室申込!D178,6)+1,2))),""))</f>
        <v/>
      </c>
    </row>
    <row r="500" spans="1:7">
      <c r="A500" s="1">
        <f>499</f>
        <v>499</v>
      </c>
      <c r="B500" s="1">
        <f>179</f>
        <v>179</v>
      </c>
      <c r="C500" s="1" t="str">
        <f>"珠算"</f>
        <v>珠算</v>
      </c>
      <c r="D500" s="1" t="str">
        <f>IF(教室申込!F179="","",IFERROR(VALUE(教室申込!F179),""))</f>
        <v/>
      </c>
      <c r="E500" s="1" t="str">
        <f>IF(D500="","",COUNT($D$2:D500))</f>
        <v/>
      </c>
      <c r="F500" s="1" t="str">
        <f>IF(COUNTA(教室申込!$C$4)=0,"",教室申込!$C$4)</f>
        <v/>
      </c>
      <c r="G500" s="1" t="str">
        <f>IF(教室申込!D179="","",IFERROR(DATE(VALUE(LEFT(教室申込!D179,4)),VALUE(MID(教室申込!D179,6,FIND("/",教室申込!D179,6)-6)),VALUE(MID(教室申込!D179,FIND("/",教室申込!D179,6)+1,2))),""))</f>
        <v/>
      </c>
    </row>
    <row r="501" spans="1:7">
      <c r="A501" s="1">
        <f>500</f>
        <v>500</v>
      </c>
      <c r="B501" s="1">
        <f>179</f>
        <v>179</v>
      </c>
      <c r="C501" s="1" t="str">
        <f>"暗算"</f>
        <v>暗算</v>
      </c>
      <c r="D501" s="1" t="str">
        <f>IF(教室申込!G179="","",IFERROR(VALUE(教室申込!G179),""))</f>
        <v/>
      </c>
      <c r="E501" s="1" t="str">
        <f>IF(D501="","",COUNT($D$2:D501))</f>
        <v/>
      </c>
      <c r="F501" s="1" t="str">
        <f>IF(COUNTA(教室申込!$C$4)=0,"",教室申込!$C$4)</f>
        <v/>
      </c>
      <c r="G501" s="1" t="str">
        <f>IF(教室申込!D179="","",IFERROR(DATE(VALUE(LEFT(教室申込!D179,4)),VALUE(MID(教室申込!D179,6,FIND("/",教室申込!D179,6)-6)),VALUE(MID(教室申込!D179,FIND("/",教室申込!D179,6)+1,2))),""))</f>
        <v/>
      </c>
    </row>
    <row r="502" spans="1:7">
      <c r="A502" s="1">
        <f>501</f>
        <v>501</v>
      </c>
      <c r="B502" s="1">
        <f>179</f>
        <v>179</v>
      </c>
      <c r="C502" s="1" t="str">
        <f>"段位認定"</f>
        <v>段位認定</v>
      </c>
      <c r="D502" s="1" t="str">
        <f>IF(教室申込!H179="","",IFERROR(MATCH(教室申込!H179,料金表!$G$6:$G$8,0),""))</f>
        <v/>
      </c>
      <c r="E502" s="1" t="str">
        <f>IF(D502="","",COUNT($D$2:D502))</f>
        <v/>
      </c>
      <c r="F502" s="1" t="str">
        <f>IF(COUNTA(教室申込!$C$4)=0,"",教室申込!$C$4)</f>
        <v/>
      </c>
      <c r="G502" s="1" t="str">
        <f>IF(教室申込!D179="","",IFERROR(DATE(VALUE(LEFT(教室申込!D179,4)),VALUE(MID(教室申込!D179,6,FIND("/",教室申込!D179,6)-6)),VALUE(MID(教室申込!D179,FIND("/",教室申込!D179,6)+1,2))),""))</f>
        <v/>
      </c>
    </row>
    <row r="503" spans="1:7">
      <c r="A503" s="1">
        <f>502</f>
        <v>502</v>
      </c>
      <c r="B503" s="1">
        <f>180</f>
        <v>180</v>
      </c>
      <c r="C503" s="1" t="str">
        <f>"珠算"</f>
        <v>珠算</v>
      </c>
      <c r="D503" s="1" t="str">
        <f>IF(教室申込!F180="","",IFERROR(VALUE(教室申込!F180),""))</f>
        <v/>
      </c>
      <c r="E503" s="1" t="str">
        <f>IF(D503="","",COUNT($D$2:D503))</f>
        <v/>
      </c>
      <c r="F503" s="1" t="str">
        <f>IF(COUNTA(教室申込!$C$4)=0,"",教室申込!$C$4)</f>
        <v/>
      </c>
      <c r="G503" s="1" t="str">
        <f>IF(教室申込!D180="","",IFERROR(DATE(VALUE(LEFT(教室申込!D180,4)),VALUE(MID(教室申込!D180,6,FIND("/",教室申込!D180,6)-6)),VALUE(MID(教室申込!D180,FIND("/",教室申込!D180,6)+1,2))),""))</f>
        <v/>
      </c>
    </row>
    <row r="504" spans="1:7">
      <c r="A504" s="1">
        <f>503</f>
        <v>503</v>
      </c>
      <c r="B504" s="1">
        <f>180</f>
        <v>180</v>
      </c>
      <c r="C504" s="1" t="str">
        <f>"暗算"</f>
        <v>暗算</v>
      </c>
      <c r="D504" s="1" t="str">
        <f>IF(教室申込!G180="","",IFERROR(VALUE(教室申込!G180),""))</f>
        <v/>
      </c>
      <c r="E504" s="1" t="str">
        <f>IF(D504="","",COUNT($D$2:D504))</f>
        <v/>
      </c>
      <c r="F504" s="1" t="str">
        <f>IF(COUNTA(教室申込!$C$4)=0,"",教室申込!$C$4)</f>
        <v/>
      </c>
      <c r="G504" s="1" t="str">
        <f>IF(教室申込!D180="","",IFERROR(DATE(VALUE(LEFT(教室申込!D180,4)),VALUE(MID(教室申込!D180,6,FIND("/",教室申込!D180,6)-6)),VALUE(MID(教室申込!D180,FIND("/",教室申込!D180,6)+1,2))),""))</f>
        <v/>
      </c>
    </row>
    <row r="505" spans="1:7">
      <c r="A505" s="1">
        <f>504</f>
        <v>504</v>
      </c>
      <c r="B505" s="1">
        <f>180</f>
        <v>180</v>
      </c>
      <c r="C505" s="1" t="str">
        <f>"段位認定"</f>
        <v>段位認定</v>
      </c>
      <c r="D505" s="1" t="str">
        <f>IF(教室申込!H180="","",IFERROR(MATCH(教室申込!H180,料金表!$G$6:$G$8,0),""))</f>
        <v/>
      </c>
      <c r="E505" s="1" t="str">
        <f>IF(D505="","",COUNT($D$2:D505))</f>
        <v/>
      </c>
      <c r="F505" s="1" t="str">
        <f>IF(COUNTA(教室申込!$C$4)=0,"",教室申込!$C$4)</f>
        <v/>
      </c>
      <c r="G505" s="1" t="str">
        <f>IF(教室申込!D180="","",IFERROR(DATE(VALUE(LEFT(教室申込!D180,4)),VALUE(MID(教室申込!D180,6,FIND("/",教室申込!D180,6)-6)),VALUE(MID(教室申込!D180,FIND("/",教室申込!D180,6)+1,2))),""))</f>
        <v/>
      </c>
    </row>
    <row r="506" spans="1:7">
      <c r="A506" s="1">
        <f>505</f>
        <v>505</v>
      </c>
      <c r="B506" s="1">
        <f>181</f>
        <v>181</v>
      </c>
      <c r="C506" s="1" t="str">
        <f>"珠算"</f>
        <v>珠算</v>
      </c>
      <c r="D506" s="1" t="str">
        <f>IF(教室申込!F181="","",IFERROR(VALUE(教室申込!F181),""))</f>
        <v/>
      </c>
      <c r="E506" s="1" t="str">
        <f>IF(D506="","",COUNT($D$2:D506))</f>
        <v/>
      </c>
      <c r="F506" s="1" t="str">
        <f>IF(COUNTA(教室申込!$C$4)=0,"",教室申込!$C$4)</f>
        <v/>
      </c>
      <c r="G506" s="1" t="str">
        <f>IF(教室申込!D181="","",IFERROR(DATE(VALUE(LEFT(教室申込!D181,4)),VALUE(MID(教室申込!D181,6,FIND("/",教室申込!D181,6)-6)),VALUE(MID(教室申込!D181,FIND("/",教室申込!D181,6)+1,2))),""))</f>
        <v/>
      </c>
    </row>
    <row r="507" spans="1:7">
      <c r="A507" s="1">
        <f>506</f>
        <v>506</v>
      </c>
      <c r="B507" s="1">
        <f>181</f>
        <v>181</v>
      </c>
      <c r="C507" s="1" t="str">
        <f>"暗算"</f>
        <v>暗算</v>
      </c>
      <c r="D507" s="1" t="str">
        <f>IF(教室申込!G181="","",IFERROR(VALUE(教室申込!G181),""))</f>
        <v/>
      </c>
      <c r="E507" s="1" t="str">
        <f>IF(D507="","",COUNT($D$2:D507))</f>
        <v/>
      </c>
      <c r="F507" s="1" t="str">
        <f>IF(COUNTA(教室申込!$C$4)=0,"",教室申込!$C$4)</f>
        <v/>
      </c>
      <c r="G507" s="1" t="str">
        <f>IF(教室申込!D181="","",IFERROR(DATE(VALUE(LEFT(教室申込!D181,4)),VALUE(MID(教室申込!D181,6,FIND("/",教室申込!D181,6)-6)),VALUE(MID(教室申込!D181,FIND("/",教室申込!D181,6)+1,2))),""))</f>
        <v/>
      </c>
    </row>
    <row r="508" spans="1:7">
      <c r="A508" s="1">
        <f>507</f>
        <v>507</v>
      </c>
      <c r="B508" s="1">
        <f>181</f>
        <v>181</v>
      </c>
      <c r="C508" s="1" t="str">
        <f>"段位認定"</f>
        <v>段位認定</v>
      </c>
      <c r="D508" s="1" t="str">
        <f>IF(教室申込!H181="","",IFERROR(MATCH(教室申込!H181,料金表!$G$6:$G$8,0),""))</f>
        <v/>
      </c>
      <c r="E508" s="1" t="str">
        <f>IF(D508="","",COUNT($D$2:D508))</f>
        <v/>
      </c>
      <c r="F508" s="1" t="str">
        <f>IF(COUNTA(教室申込!$C$4)=0,"",教室申込!$C$4)</f>
        <v/>
      </c>
      <c r="G508" s="1" t="str">
        <f>IF(教室申込!D181="","",IFERROR(DATE(VALUE(LEFT(教室申込!D181,4)),VALUE(MID(教室申込!D181,6,FIND("/",教室申込!D181,6)-6)),VALUE(MID(教室申込!D181,FIND("/",教室申込!D181,6)+1,2))),""))</f>
        <v/>
      </c>
    </row>
    <row r="509" spans="1:7">
      <c r="A509" s="1">
        <f>508</f>
        <v>508</v>
      </c>
      <c r="B509" s="1">
        <f>182</f>
        <v>182</v>
      </c>
      <c r="C509" s="1" t="str">
        <f>"珠算"</f>
        <v>珠算</v>
      </c>
      <c r="D509" s="1" t="str">
        <f>IF(教室申込!F182="","",IFERROR(VALUE(教室申込!F182),""))</f>
        <v/>
      </c>
      <c r="E509" s="1" t="str">
        <f>IF(D509="","",COUNT($D$2:D509))</f>
        <v/>
      </c>
      <c r="F509" s="1" t="str">
        <f>IF(COUNTA(教室申込!$C$4)=0,"",教室申込!$C$4)</f>
        <v/>
      </c>
      <c r="G509" s="1" t="str">
        <f>IF(教室申込!D182="","",IFERROR(DATE(VALUE(LEFT(教室申込!D182,4)),VALUE(MID(教室申込!D182,6,FIND("/",教室申込!D182,6)-6)),VALUE(MID(教室申込!D182,FIND("/",教室申込!D182,6)+1,2))),""))</f>
        <v/>
      </c>
    </row>
    <row r="510" spans="1:7">
      <c r="A510" s="1">
        <f>509</f>
        <v>509</v>
      </c>
      <c r="B510" s="1">
        <f>182</f>
        <v>182</v>
      </c>
      <c r="C510" s="1" t="str">
        <f>"暗算"</f>
        <v>暗算</v>
      </c>
      <c r="D510" s="1" t="str">
        <f>IF(教室申込!G182="","",IFERROR(VALUE(教室申込!G182),""))</f>
        <v/>
      </c>
      <c r="E510" s="1" t="str">
        <f>IF(D510="","",COUNT($D$2:D510))</f>
        <v/>
      </c>
      <c r="F510" s="1" t="str">
        <f>IF(COUNTA(教室申込!$C$4)=0,"",教室申込!$C$4)</f>
        <v/>
      </c>
      <c r="G510" s="1" t="str">
        <f>IF(教室申込!D182="","",IFERROR(DATE(VALUE(LEFT(教室申込!D182,4)),VALUE(MID(教室申込!D182,6,FIND("/",教室申込!D182,6)-6)),VALUE(MID(教室申込!D182,FIND("/",教室申込!D182,6)+1,2))),""))</f>
        <v/>
      </c>
    </row>
    <row r="511" spans="1:7">
      <c r="A511" s="1">
        <f>510</f>
        <v>510</v>
      </c>
      <c r="B511" s="1">
        <f>182</f>
        <v>182</v>
      </c>
      <c r="C511" s="1" t="str">
        <f>"段位認定"</f>
        <v>段位認定</v>
      </c>
      <c r="D511" s="1" t="str">
        <f>IF(教室申込!H182="","",IFERROR(MATCH(教室申込!H182,料金表!$G$6:$G$8,0),""))</f>
        <v/>
      </c>
      <c r="E511" s="1" t="str">
        <f>IF(D511="","",COUNT($D$2:D511))</f>
        <v/>
      </c>
      <c r="F511" s="1" t="str">
        <f>IF(COUNTA(教室申込!$C$4)=0,"",教室申込!$C$4)</f>
        <v/>
      </c>
      <c r="G511" s="1" t="str">
        <f>IF(教室申込!D182="","",IFERROR(DATE(VALUE(LEFT(教室申込!D182,4)),VALUE(MID(教室申込!D182,6,FIND("/",教室申込!D182,6)-6)),VALUE(MID(教室申込!D182,FIND("/",教室申込!D182,6)+1,2))),""))</f>
        <v/>
      </c>
    </row>
    <row r="512" spans="1:7">
      <c r="A512" s="1">
        <f>511</f>
        <v>511</v>
      </c>
      <c r="B512" s="1">
        <f>183</f>
        <v>183</v>
      </c>
      <c r="C512" s="1" t="str">
        <f>"珠算"</f>
        <v>珠算</v>
      </c>
      <c r="D512" s="1" t="str">
        <f>IF(教室申込!F183="","",IFERROR(VALUE(教室申込!F183),""))</f>
        <v/>
      </c>
      <c r="E512" s="1" t="str">
        <f>IF(D512="","",COUNT($D$2:D512))</f>
        <v/>
      </c>
      <c r="F512" s="1" t="str">
        <f>IF(COUNTA(教室申込!$C$4)=0,"",教室申込!$C$4)</f>
        <v/>
      </c>
      <c r="G512" s="1" t="str">
        <f>IF(教室申込!D183="","",IFERROR(DATE(VALUE(LEFT(教室申込!D183,4)),VALUE(MID(教室申込!D183,6,FIND("/",教室申込!D183,6)-6)),VALUE(MID(教室申込!D183,FIND("/",教室申込!D183,6)+1,2))),""))</f>
        <v/>
      </c>
    </row>
    <row r="513" spans="1:7">
      <c r="A513" s="1">
        <f>512</f>
        <v>512</v>
      </c>
      <c r="B513" s="1">
        <f>183</f>
        <v>183</v>
      </c>
      <c r="C513" s="1" t="str">
        <f>"暗算"</f>
        <v>暗算</v>
      </c>
      <c r="D513" s="1" t="str">
        <f>IF(教室申込!G183="","",IFERROR(VALUE(教室申込!G183),""))</f>
        <v/>
      </c>
      <c r="E513" s="1" t="str">
        <f>IF(D513="","",COUNT($D$2:D513))</f>
        <v/>
      </c>
      <c r="F513" s="1" t="str">
        <f>IF(COUNTA(教室申込!$C$4)=0,"",教室申込!$C$4)</f>
        <v/>
      </c>
      <c r="G513" s="1" t="str">
        <f>IF(教室申込!D183="","",IFERROR(DATE(VALUE(LEFT(教室申込!D183,4)),VALUE(MID(教室申込!D183,6,FIND("/",教室申込!D183,6)-6)),VALUE(MID(教室申込!D183,FIND("/",教室申込!D183,6)+1,2))),""))</f>
        <v/>
      </c>
    </row>
    <row r="514" spans="1:7">
      <c r="A514" s="1">
        <f>513</f>
        <v>513</v>
      </c>
      <c r="B514" s="1">
        <f>183</f>
        <v>183</v>
      </c>
      <c r="C514" s="1" t="str">
        <f>"段位認定"</f>
        <v>段位認定</v>
      </c>
      <c r="D514" s="1" t="str">
        <f>IF(教室申込!H183="","",IFERROR(MATCH(教室申込!H183,料金表!$G$6:$G$8,0),""))</f>
        <v/>
      </c>
      <c r="E514" s="1" t="str">
        <f>IF(D514="","",COUNT($D$2:D514))</f>
        <v/>
      </c>
      <c r="F514" s="1" t="str">
        <f>IF(COUNTA(教室申込!$C$4)=0,"",教室申込!$C$4)</f>
        <v/>
      </c>
      <c r="G514" s="1" t="str">
        <f>IF(教室申込!D183="","",IFERROR(DATE(VALUE(LEFT(教室申込!D183,4)),VALUE(MID(教室申込!D183,6,FIND("/",教室申込!D183,6)-6)),VALUE(MID(教室申込!D183,FIND("/",教室申込!D183,6)+1,2))),""))</f>
        <v/>
      </c>
    </row>
    <row r="515" spans="1:7">
      <c r="A515" s="1">
        <f>514</f>
        <v>514</v>
      </c>
      <c r="B515" s="1">
        <f>184</f>
        <v>184</v>
      </c>
      <c r="C515" s="1" t="str">
        <f>"珠算"</f>
        <v>珠算</v>
      </c>
      <c r="D515" s="1" t="str">
        <f>IF(教室申込!F184="","",IFERROR(VALUE(教室申込!F184),""))</f>
        <v/>
      </c>
      <c r="E515" s="1" t="str">
        <f>IF(D515="","",COUNT($D$2:D515))</f>
        <v/>
      </c>
      <c r="F515" s="1" t="str">
        <f>IF(COUNTA(教室申込!$C$4)=0,"",教室申込!$C$4)</f>
        <v/>
      </c>
      <c r="G515" s="1" t="str">
        <f>IF(教室申込!D184="","",IFERROR(DATE(VALUE(LEFT(教室申込!D184,4)),VALUE(MID(教室申込!D184,6,FIND("/",教室申込!D184,6)-6)),VALUE(MID(教室申込!D184,FIND("/",教室申込!D184,6)+1,2))),""))</f>
        <v/>
      </c>
    </row>
    <row r="516" spans="1:7">
      <c r="A516" s="1">
        <f>515</f>
        <v>515</v>
      </c>
      <c r="B516" s="1">
        <f>184</f>
        <v>184</v>
      </c>
      <c r="C516" s="1" t="str">
        <f>"暗算"</f>
        <v>暗算</v>
      </c>
      <c r="D516" s="1" t="str">
        <f>IF(教室申込!G184="","",IFERROR(VALUE(教室申込!G184),""))</f>
        <v/>
      </c>
      <c r="E516" s="1" t="str">
        <f>IF(D516="","",COUNT($D$2:D516))</f>
        <v/>
      </c>
      <c r="F516" s="1" t="str">
        <f>IF(COUNTA(教室申込!$C$4)=0,"",教室申込!$C$4)</f>
        <v/>
      </c>
      <c r="G516" s="1" t="str">
        <f>IF(教室申込!D184="","",IFERROR(DATE(VALUE(LEFT(教室申込!D184,4)),VALUE(MID(教室申込!D184,6,FIND("/",教室申込!D184,6)-6)),VALUE(MID(教室申込!D184,FIND("/",教室申込!D184,6)+1,2))),""))</f>
        <v/>
      </c>
    </row>
    <row r="517" spans="1:7">
      <c r="A517" s="1">
        <f>516</f>
        <v>516</v>
      </c>
      <c r="B517" s="1">
        <f>184</f>
        <v>184</v>
      </c>
      <c r="C517" s="1" t="str">
        <f>"段位認定"</f>
        <v>段位認定</v>
      </c>
      <c r="D517" s="1" t="str">
        <f>IF(教室申込!H184="","",IFERROR(MATCH(教室申込!H184,料金表!$G$6:$G$8,0),""))</f>
        <v/>
      </c>
      <c r="E517" s="1" t="str">
        <f>IF(D517="","",COUNT($D$2:D517))</f>
        <v/>
      </c>
      <c r="F517" s="1" t="str">
        <f>IF(COUNTA(教室申込!$C$4)=0,"",教室申込!$C$4)</f>
        <v/>
      </c>
      <c r="G517" s="1" t="str">
        <f>IF(教室申込!D184="","",IFERROR(DATE(VALUE(LEFT(教室申込!D184,4)),VALUE(MID(教室申込!D184,6,FIND("/",教室申込!D184,6)-6)),VALUE(MID(教室申込!D184,FIND("/",教室申込!D184,6)+1,2))),""))</f>
        <v/>
      </c>
    </row>
    <row r="518" spans="1:7">
      <c r="A518" s="1">
        <f>517</f>
        <v>517</v>
      </c>
      <c r="B518" s="1">
        <f>185</f>
        <v>185</v>
      </c>
      <c r="C518" s="1" t="str">
        <f>"珠算"</f>
        <v>珠算</v>
      </c>
      <c r="D518" s="1" t="str">
        <f>IF(教室申込!F185="","",IFERROR(VALUE(教室申込!F185),""))</f>
        <v/>
      </c>
      <c r="E518" s="1" t="str">
        <f>IF(D518="","",COUNT($D$2:D518))</f>
        <v/>
      </c>
      <c r="F518" s="1" t="str">
        <f>IF(COUNTA(教室申込!$C$4)=0,"",教室申込!$C$4)</f>
        <v/>
      </c>
      <c r="G518" s="1" t="str">
        <f>IF(教室申込!D185="","",IFERROR(DATE(VALUE(LEFT(教室申込!D185,4)),VALUE(MID(教室申込!D185,6,FIND("/",教室申込!D185,6)-6)),VALUE(MID(教室申込!D185,FIND("/",教室申込!D185,6)+1,2))),""))</f>
        <v/>
      </c>
    </row>
    <row r="519" spans="1:7">
      <c r="A519" s="1">
        <f>518</f>
        <v>518</v>
      </c>
      <c r="B519" s="1">
        <f>185</f>
        <v>185</v>
      </c>
      <c r="C519" s="1" t="str">
        <f>"暗算"</f>
        <v>暗算</v>
      </c>
      <c r="D519" s="1" t="str">
        <f>IF(教室申込!G185="","",IFERROR(VALUE(教室申込!G185),""))</f>
        <v/>
      </c>
      <c r="E519" s="1" t="str">
        <f>IF(D519="","",COUNT($D$2:D519))</f>
        <v/>
      </c>
      <c r="F519" s="1" t="str">
        <f>IF(COUNTA(教室申込!$C$4)=0,"",教室申込!$C$4)</f>
        <v/>
      </c>
      <c r="G519" s="1" t="str">
        <f>IF(教室申込!D185="","",IFERROR(DATE(VALUE(LEFT(教室申込!D185,4)),VALUE(MID(教室申込!D185,6,FIND("/",教室申込!D185,6)-6)),VALUE(MID(教室申込!D185,FIND("/",教室申込!D185,6)+1,2))),""))</f>
        <v/>
      </c>
    </row>
    <row r="520" spans="1:7">
      <c r="A520" s="1">
        <f>519</f>
        <v>519</v>
      </c>
      <c r="B520" s="1">
        <f>185</f>
        <v>185</v>
      </c>
      <c r="C520" s="1" t="str">
        <f>"段位認定"</f>
        <v>段位認定</v>
      </c>
      <c r="D520" s="1" t="str">
        <f>IF(教室申込!H185="","",IFERROR(MATCH(教室申込!H185,料金表!$G$6:$G$8,0),""))</f>
        <v/>
      </c>
      <c r="E520" s="1" t="str">
        <f>IF(D520="","",COUNT($D$2:D520))</f>
        <v/>
      </c>
      <c r="F520" s="1" t="str">
        <f>IF(COUNTA(教室申込!$C$4)=0,"",教室申込!$C$4)</f>
        <v/>
      </c>
      <c r="G520" s="1" t="str">
        <f>IF(教室申込!D185="","",IFERROR(DATE(VALUE(LEFT(教室申込!D185,4)),VALUE(MID(教室申込!D185,6,FIND("/",教室申込!D185,6)-6)),VALUE(MID(教室申込!D185,FIND("/",教室申込!D185,6)+1,2))),""))</f>
        <v/>
      </c>
    </row>
    <row r="521" spans="1:7">
      <c r="A521" s="1">
        <f>520</f>
        <v>520</v>
      </c>
      <c r="B521" s="1">
        <f>186</f>
        <v>186</v>
      </c>
      <c r="C521" s="1" t="str">
        <f>"珠算"</f>
        <v>珠算</v>
      </c>
      <c r="D521" s="1" t="str">
        <f>IF(教室申込!F186="","",IFERROR(VALUE(教室申込!F186),""))</f>
        <v/>
      </c>
      <c r="E521" s="1" t="str">
        <f>IF(D521="","",COUNT($D$2:D521))</f>
        <v/>
      </c>
      <c r="F521" s="1" t="str">
        <f>IF(COUNTA(教室申込!$C$4)=0,"",教室申込!$C$4)</f>
        <v/>
      </c>
      <c r="G521" s="1" t="str">
        <f>IF(教室申込!D186="","",IFERROR(DATE(VALUE(LEFT(教室申込!D186,4)),VALUE(MID(教室申込!D186,6,FIND("/",教室申込!D186,6)-6)),VALUE(MID(教室申込!D186,FIND("/",教室申込!D186,6)+1,2))),""))</f>
        <v/>
      </c>
    </row>
    <row r="522" spans="1:7">
      <c r="A522" s="1">
        <f>521</f>
        <v>521</v>
      </c>
      <c r="B522" s="1">
        <f>186</f>
        <v>186</v>
      </c>
      <c r="C522" s="1" t="str">
        <f>"暗算"</f>
        <v>暗算</v>
      </c>
      <c r="D522" s="1" t="str">
        <f>IF(教室申込!G186="","",IFERROR(VALUE(教室申込!G186),""))</f>
        <v/>
      </c>
      <c r="E522" s="1" t="str">
        <f>IF(D522="","",COUNT($D$2:D522))</f>
        <v/>
      </c>
      <c r="F522" s="1" t="str">
        <f>IF(COUNTA(教室申込!$C$4)=0,"",教室申込!$C$4)</f>
        <v/>
      </c>
      <c r="G522" s="1" t="str">
        <f>IF(教室申込!D186="","",IFERROR(DATE(VALUE(LEFT(教室申込!D186,4)),VALUE(MID(教室申込!D186,6,FIND("/",教室申込!D186,6)-6)),VALUE(MID(教室申込!D186,FIND("/",教室申込!D186,6)+1,2))),""))</f>
        <v/>
      </c>
    </row>
    <row r="523" spans="1:7">
      <c r="A523" s="1">
        <f>522</f>
        <v>522</v>
      </c>
      <c r="B523" s="1">
        <f>186</f>
        <v>186</v>
      </c>
      <c r="C523" s="1" t="str">
        <f>"段位認定"</f>
        <v>段位認定</v>
      </c>
      <c r="D523" s="1" t="str">
        <f>IF(教室申込!H186="","",IFERROR(MATCH(教室申込!H186,料金表!$G$6:$G$8,0),""))</f>
        <v/>
      </c>
      <c r="E523" s="1" t="str">
        <f>IF(D523="","",COUNT($D$2:D523))</f>
        <v/>
      </c>
      <c r="F523" s="1" t="str">
        <f>IF(COUNTA(教室申込!$C$4)=0,"",教室申込!$C$4)</f>
        <v/>
      </c>
      <c r="G523" s="1" t="str">
        <f>IF(教室申込!D186="","",IFERROR(DATE(VALUE(LEFT(教室申込!D186,4)),VALUE(MID(教室申込!D186,6,FIND("/",教室申込!D186,6)-6)),VALUE(MID(教室申込!D186,FIND("/",教室申込!D186,6)+1,2))),""))</f>
        <v/>
      </c>
    </row>
    <row r="524" spans="1:7">
      <c r="A524" s="1">
        <f>523</f>
        <v>523</v>
      </c>
      <c r="B524" s="1">
        <f>187</f>
        <v>187</v>
      </c>
      <c r="C524" s="1" t="str">
        <f>"珠算"</f>
        <v>珠算</v>
      </c>
      <c r="D524" s="1" t="str">
        <f>IF(教室申込!F187="","",IFERROR(VALUE(教室申込!F187),""))</f>
        <v/>
      </c>
      <c r="E524" s="1" t="str">
        <f>IF(D524="","",COUNT($D$2:D524))</f>
        <v/>
      </c>
      <c r="F524" s="1" t="str">
        <f>IF(COUNTA(教室申込!$C$4)=0,"",教室申込!$C$4)</f>
        <v/>
      </c>
      <c r="G524" s="1" t="str">
        <f>IF(教室申込!D187="","",IFERROR(DATE(VALUE(LEFT(教室申込!D187,4)),VALUE(MID(教室申込!D187,6,FIND("/",教室申込!D187,6)-6)),VALUE(MID(教室申込!D187,FIND("/",教室申込!D187,6)+1,2))),""))</f>
        <v/>
      </c>
    </row>
    <row r="525" spans="1:7">
      <c r="A525" s="1">
        <f>524</f>
        <v>524</v>
      </c>
      <c r="B525" s="1">
        <f>187</f>
        <v>187</v>
      </c>
      <c r="C525" s="1" t="str">
        <f>"暗算"</f>
        <v>暗算</v>
      </c>
      <c r="D525" s="1" t="str">
        <f>IF(教室申込!G187="","",IFERROR(VALUE(教室申込!G187),""))</f>
        <v/>
      </c>
      <c r="E525" s="1" t="str">
        <f>IF(D525="","",COUNT($D$2:D525))</f>
        <v/>
      </c>
      <c r="F525" s="1" t="str">
        <f>IF(COUNTA(教室申込!$C$4)=0,"",教室申込!$C$4)</f>
        <v/>
      </c>
      <c r="G525" s="1" t="str">
        <f>IF(教室申込!D187="","",IFERROR(DATE(VALUE(LEFT(教室申込!D187,4)),VALUE(MID(教室申込!D187,6,FIND("/",教室申込!D187,6)-6)),VALUE(MID(教室申込!D187,FIND("/",教室申込!D187,6)+1,2))),""))</f>
        <v/>
      </c>
    </row>
    <row r="526" spans="1:7">
      <c r="A526" s="1">
        <f>525</f>
        <v>525</v>
      </c>
      <c r="B526" s="1">
        <f>187</f>
        <v>187</v>
      </c>
      <c r="C526" s="1" t="str">
        <f>"段位認定"</f>
        <v>段位認定</v>
      </c>
      <c r="D526" s="1" t="str">
        <f>IF(教室申込!H187="","",IFERROR(MATCH(教室申込!H187,料金表!$G$6:$G$8,0),""))</f>
        <v/>
      </c>
      <c r="E526" s="1" t="str">
        <f>IF(D526="","",COUNT($D$2:D526))</f>
        <v/>
      </c>
      <c r="F526" s="1" t="str">
        <f>IF(COUNTA(教室申込!$C$4)=0,"",教室申込!$C$4)</f>
        <v/>
      </c>
      <c r="G526" s="1" t="str">
        <f>IF(教室申込!D187="","",IFERROR(DATE(VALUE(LEFT(教室申込!D187,4)),VALUE(MID(教室申込!D187,6,FIND("/",教室申込!D187,6)-6)),VALUE(MID(教室申込!D187,FIND("/",教室申込!D187,6)+1,2))),""))</f>
        <v/>
      </c>
    </row>
    <row r="527" spans="1:7">
      <c r="A527" s="1">
        <f>526</f>
        <v>526</v>
      </c>
      <c r="B527" s="1">
        <f>188</f>
        <v>188</v>
      </c>
      <c r="C527" s="1" t="str">
        <f>"珠算"</f>
        <v>珠算</v>
      </c>
      <c r="D527" s="1" t="str">
        <f>IF(教室申込!F188="","",IFERROR(VALUE(教室申込!F188),""))</f>
        <v/>
      </c>
      <c r="E527" s="1" t="str">
        <f>IF(D527="","",COUNT($D$2:D527))</f>
        <v/>
      </c>
      <c r="F527" s="1" t="str">
        <f>IF(COUNTA(教室申込!$C$4)=0,"",教室申込!$C$4)</f>
        <v/>
      </c>
      <c r="G527" s="1" t="str">
        <f>IF(教室申込!D188="","",IFERROR(DATE(VALUE(LEFT(教室申込!D188,4)),VALUE(MID(教室申込!D188,6,FIND("/",教室申込!D188,6)-6)),VALUE(MID(教室申込!D188,FIND("/",教室申込!D188,6)+1,2))),""))</f>
        <v/>
      </c>
    </row>
    <row r="528" spans="1:7">
      <c r="A528" s="1">
        <f>527</f>
        <v>527</v>
      </c>
      <c r="B528" s="1">
        <f>188</f>
        <v>188</v>
      </c>
      <c r="C528" s="1" t="str">
        <f>"暗算"</f>
        <v>暗算</v>
      </c>
      <c r="D528" s="1" t="str">
        <f>IF(教室申込!G188="","",IFERROR(VALUE(教室申込!G188),""))</f>
        <v/>
      </c>
      <c r="E528" s="1" t="str">
        <f>IF(D528="","",COUNT($D$2:D528))</f>
        <v/>
      </c>
      <c r="F528" s="1" t="str">
        <f>IF(COUNTA(教室申込!$C$4)=0,"",教室申込!$C$4)</f>
        <v/>
      </c>
      <c r="G528" s="1" t="str">
        <f>IF(教室申込!D188="","",IFERROR(DATE(VALUE(LEFT(教室申込!D188,4)),VALUE(MID(教室申込!D188,6,FIND("/",教室申込!D188,6)-6)),VALUE(MID(教室申込!D188,FIND("/",教室申込!D188,6)+1,2))),""))</f>
        <v/>
      </c>
    </row>
    <row r="529" spans="1:7">
      <c r="A529" s="1">
        <f>528</f>
        <v>528</v>
      </c>
      <c r="B529" s="1">
        <f>188</f>
        <v>188</v>
      </c>
      <c r="C529" s="1" t="str">
        <f>"段位認定"</f>
        <v>段位認定</v>
      </c>
      <c r="D529" s="1" t="str">
        <f>IF(教室申込!H188="","",IFERROR(MATCH(教室申込!H188,料金表!$G$6:$G$8,0),""))</f>
        <v/>
      </c>
      <c r="E529" s="1" t="str">
        <f>IF(D529="","",COUNT($D$2:D529))</f>
        <v/>
      </c>
      <c r="F529" s="1" t="str">
        <f>IF(COUNTA(教室申込!$C$4)=0,"",教室申込!$C$4)</f>
        <v/>
      </c>
      <c r="G529" s="1" t="str">
        <f>IF(教室申込!D188="","",IFERROR(DATE(VALUE(LEFT(教室申込!D188,4)),VALUE(MID(教室申込!D188,6,FIND("/",教室申込!D188,6)-6)),VALUE(MID(教室申込!D188,FIND("/",教室申込!D188,6)+1,2))),""))</f>
        <v/>
      </c>
    </row>
    <row r="530" spans="1:7">
      <c r="A530" s="1">
        <f>529</f>
        <v>529</v>
      </c>
      <c r="B530" s="1">
        <f>189</f>
        <v>189</v>
      </c>
      <c r="C530" s="1" t="str">
        <f>"珠算"</f>
        <v>珠算</v>
      </c>
      <c r="D530" s="1" t="str">
        <f>IF(教室申込!F189="","",IFERROR(VALUE(教室申込!F189),""))</f>
        <v/>
      </c>
      <c r="E530" s="1" t="str">
        <f>IF(D530="","",COUNT($D$2:D530))</f>
        <v/>
      </c>
      <c r="F530" s="1" t="str">
        <f>IF(COUNTA(教室申込!$C$4)=0,"",教室申込!$C$4)</f>
        <v/>
      </c>
      <c r="G530" s="1" t="str">
        <f>IF(教室申込!D189="","",IFERROR(DATE(VALUE(LEFT(教室申込!D189,4)),VALUE(MID(教室申込!D189,6,FIND("/",教室申込!D189,6)-6)),VALUE(MID(教室申込!D189,FIND("/",教室申込!D189,6)+1,2))),""))</f>
        <v/>
      </c>
    </row>
    <row r="531" spans="1:7">
      <c r="A531" s="1">
        <f>530</f>
        <v>530</v>
      </c>
      <c r="B531" s="1">
        <f>189</f>
        <v>189</v>
      </c>
      <c r="C531" s="1" t="str">
        <f>"暗算"</f>
        <v>暗算</v>
      </c>
      <c r="D531" s="1" t="str">
        <f>IF(教室申込!G189="","",IFERROR(VALUE(教室申込!G189),""))</f>
        <v/>
      </c>
      <c r="E531" s="1" t="str">
        <f>IF(D531="","",COUNT($D$2:D531))</f>
        <v/>
      </c>
      <c r="F531" s="1" t="str">
        <f>IF(COUNTA(教室申込!$C$4)=0,"",教室申込!$C$4)</f>
        <v/>
      </c>
      <c r="G531" s="1" t="str">
        <f>IF(教室申込!D189="","",IFERROR(DATE(VALUE(LEFT(教室申込!D189,4)),VALUE(MID(教室申込!D189,6,FIND("/",教室申込!D189,6)-6)),VALUE(MID(教室申込!D189,FIND("/",教室申込!D189,6)+1,2))),""))</f>
        <v/>
      </c>
    </row>
    <row r="532" spans="1:7">
      <c r="A532" s="1">
        <f>531</f>
        <v>531</v>
      </c>
      <c r="B532" s="1">
        <f>189</f>
        <v>189</v>
      </c>
      <c r="C532" s="1" t="str">
        <f>"段位認定"</f>
        <v>段位認定</v>
      </c>
      <c r="D532" s="1" t="str">
        <f>IF(教室申込!H189="","",IFERROR(MATCH(教室申込!H189,料金表!$G$6:$G$8,0),""))</f>
        <v/>
      </c>
      <c r="E532" s="1" t="str">
        <f>IF(D532="","",COUNT($D$2:D532))</f>
        <v/>
      </c>
      <c r="F532" s="1" t="str">
        <f>IF(COUNTA(教室申込!$C$4)=0,"",教室申込!$C$4)</f>
        <v/>
      </c>
      <c r="G532" s="1" t="str">
        <f>IF(教室申込!D189="","",IFERROR(DATE(VALUE(LEFT(教室申込!D189,4)),VALUE(MID(教室申込!D189,6,FIND("/",教室申込!D189,6)-6)),VALUE(MID(教室申込!D189,FIND("/",教室申込!D189,6)+1,2))),""))</f>
        <v/>
      </c>
    </row>
    <row r="533" spans="1:7">
      <c r="A533" s="1">
        <f>532</f>
        <v>532</v>
      </c>
      <c r="B533" s="1">
        <f>190</f>
        <v>190</v>
      </c>
      <c r="C533" s="1" t="str">
        <f>"珠算"</f>
        <v>珠算</v>
      </c>
      <c r="D533" s="1" t="str">
        <f>IF(教室申込!F190="","",IFERROR(VALUE(教室申込!F190),""))</f>
        <v/>
      </c>
      <c r="E533" s="1" t="str">
        <f>IF(D533="","",COUNT($D$2:D533))</f>
        <v/>
      </c>
      <c r="F533" s="1" t="str">
        <f>IF(COUNTA(教室申込!$C$4)=0,"",教室申込!$C$4)</f>
        <v/>
      </c>
      <c r="G533" s="1" t="str">
        <f>IF(教室申込!D190="","",IFERROR(DATE(VALUE(LEFT(教室申込!D190,4)),VALUE(MID(教室申込!D190,6,FIND("/",教室申込!D190,6)-6)),VALUE(MID(教室申込!D190,FIND("/",教室申込!D190,6)+1,2))),""))</f>
        <v/>
      </c>
    </row>
    <row r="534" spans="1:7">
      <c r="A534" s="1">
        <f>533</f>
        <v>533</v>
      </c>
      <c r="B534" s="1">
        <f>190</f>
        <v>190</v>
      </c>
      <c r="C534" s="1" t="str">
        <f>"暗算"</f>
        <v>暗算</v>
      </c>
      <c r="D534" s="1" t="str">
        <f>IF(教室申込!G190="","",IFERROR(VALUE(教室申込!G190),""))</f>
        <v/>
      </c>
      <c r="E534" s="1" t="str">
        <f>IF(D534="","",COUNT($D$2:D534))</f>
        <v/>
      </c>
      <c r="F534" s="1" t="str">
        <f>IF(COUNTA(教室申込!$C$4)=0,"",教室申込!$C$4)</f>
        <v/>
      </c>
      <c r="G534" s="1" t="str">
        <f>IF(教室申込!D190="","",IFERROR(DATE(VALUE(LEFT(教室申込!D190,4)),VALUE(MID(教室申込!D190,6,FIND("/",教室申込!D190,6)-6)),VALUE(MID(教室申込!D190,FIND("/",教室申込!D190,6)+1,2))),""))</f>
        <v/>
      </c>
    </row>
    <row r="535" spans="1:7">
      <c r="A535" s="1">
        <f>534</f>
        <v>534</v>
      </c>
      <c r="B535" s="1">
        <f>190</f>
        <v>190</v>
      </c>
      <c r="C535" s="1" t="str">
        <f>"段位認定"</f>
        <v>段位認定</v>
      </c>
      <c r="D535" s="1" t="str">
        <f>IF(教室申込!H190="","",IFERROR(MATCH(教室申込!H190,料金表!$G$6:$G$8,0),""))</f>
        <v/>
      </c>
      <c r="E535" s="1" t="str">
        <f>IF(D535="","",COUNT($D$2:D535))</f>
        <v/>
      </c>
      <c r="F535" s="1" t="str">
        <f>IF(COUNTA(教室申込!$C$4)=0,"",教室申込!$C$4)</f>
        <v/>
      </c>
      <c r="G535" s="1" t="str">
        <f>IF(教室申込!D190="","",IFERROR(DATE(VALUE(LEFT(教室申込!D190,4)),VALUE(MID(教室申込!D190,6,FIND("/",教室申込!D190,6)-6)),VALUE(MID(教室申込!D190,FIND("/",教室申込!D190,6)+1,2))),""))</f>
        <v/>
      </c>
    </row>
    <row r="536" spans="1:7">
      <c r="A536" s="1">
        <f>535</f>
        <v>535</v>
      </c>
      <c r="B536" s="1">
        <f>191</f>
        <v>191</v>
      </c>
      <c r="C536" s="1" t="str">
        <f>"珠算"</f>
        <v>珠算</v>
      </c>
      <c r="D536" s="1" t="str">
        <f>IF(教室申込!F191="","",IFERROR(VALUE(教室申込!F191),""))</f>
        <v/>
      </c>
      <c r="E536" s="1" t="str">
        <f>IF(D536="","",COUNT($D$2:D536))</f>
        <v/>
      </c>
      <c r="F536" s="1" t="str">
        <f>IF(COUNTA(教室申込!$C$4)=0,"",教室申込!$C$4)</f>
        <v/>
      </c>
      <c r="G536" s="1" t="str">
        <f>IF(教室申込!D191="","",IFERROR(DATE(VALUE(LEFT(教室申込!D191,4)),VALUE(MID(教室申込!D191,6,FIND("/",教室申込!D191,6)-6)),VALUE(MID(教室申込!D191,FIND("/",教室申込!D191,6)+1,2))),""))</f>
        <v/>
      </c>
    </row>
    <row r="537" spans="1:7">
      <c r="A537" s="1">
        <f>536</f>
        <v>536</v>
      </c>
      <c r="B537" s="1">
        <f>191</f>
        <v>191</v>
      </c>
      <c r="C537" s="1" t="str">
        <f>"暗算"</f>
        <v>暗算</v>
      </c>
      <c r="D537" s="1" t="str">
        <f>IF(教室申込!G191="","",IFERROR(VALUE(教室申込!G191),""))</f>
        <v/>
      </c>
      <c r="E537" s="1" t="str">
        <f>IF(D537="","",COUNT($D$2:D537))</f>
        <v/>
      </c>
      <c r="F537" s="1" t="str">
        <f>IF(COUNTA(教室申込!$C$4)=0,"",教室申込!$C$4)</f>
        <v/>
      </c>
      <c r="G537" s="1" t="str">
        <f>IF(教室申込!D191="","",IFERROR(DATE(VALUE(LEFT(教室申込!D191,4)),VALUE(MID(教室申込!D191,6,FIND("/",教室申込!D191,6)-6)),VALUE(MID(教室申込!D191,FIND("/",教室申込!D191,6)+1,2))),""))</f>
        <v/>
      </c>
    </row>
    <row r="538" spans="1:7">
      <c r="A538" s="1">
        <f>537</f>
        <v>537</v>
      </c>
      <c r="B538" s="1">
        <f>191</f>
        <v>191</v>
      </c>
      <c r="C538" s="1" t="str">
        <f>"段位認定"</f>
        <v>段位認定</v>
      </c>
      <c r="D538" s="1" t="str">
        <f>IF(教室申込!H191="","",IFERROR(MATCH(教室申込!H191,料金表!$G$6:$G$8,0),""))</f>
        <v/>
      </c>
      <c r="E538" s="1" t="str">
        <f>IF(D538="","",COUNT($D$2:D538))</f>
        <v/>
      </c>
      <c r="F538" s="1" t="str">
        <f>IF(COUNTA(教室申込!$C$4)=0,"",教室申込!$C$4)</f>
        <v/>
      </c>
      <c r="G538" s="1" t="str">
        <f>IF(教室申込!D191="","",IFERROR(DATE(VALUE(LEFT(教室申込!D191,4)),VALUE(MID(教室申込!D191,6,FIND("/",教室申込!D191,6)-6)),VALUE(MID(教室申込!D191,FIND("/",教室申込!D191,6)+1,2))),""))</f>
        <v/>
      </c>
    </row>
    <row r="539" spans="1:7">
      <c r="A539" s="1">
        <f>538</f>
        <v>538</v>
      </c>
      <c r="B539" s="1">
        <f>192</f>
        <v>192</v>
      </c>
      <c r="C539" s="1" t="str">
        <f>"珠算"</f>
        <v>珠算</v>
      </c>
      <c r="D539" s="1" t="str">
        <f>IF(教室申込!F192="","",IFERROR(VALUE(教室申込!F192),""))</f>
        <v/>
      </c>
      <c r="E539" s="1" t="str">
        <f>IF(D539="","",COUNT($D$2:D539))</f>
        <v/>
      </c>
      <c r="F539" s="1" t="str">
        <f>IF(COUNTA(教室申込!$C$4)=0,"",教室申込!$C$4)</f>
        <v/>
      </c>
      <c r="G539" s="1" t="str">
        <f>IF(教室申込!D192="","",IFERROR(DATE(VALUE(LEFT(教室申込!D192,4)),VALUE(MID(教室申込!D192,6,FIND("/",教室申込!D192,6)-6)),VALUE(MID(教室申込!D192,FIND("/",教室申込!D192,6)+1,2))),""))</f>
        <v/>
      </c>
    </row>
    <row r="540" spans="1:7">
      <c r="A540" s="1">
        <f>539</f>
        <v>539</v>
      </c>
      <c r="B540" s="1">
        <f>192</f>
        <v>192</v>
      </c>
      <c r="C540" s="1" t="str">
        <f>"暗算"</f>
        <v>暗算</v>
      </c>
      <c r="D540" s="1" t="str">
        <f>IF(教室申込!G192="","",IFERROR(VALUE(教室申込!G192),""))</f>
        <v/>
      </c>
      <c r="E540" s="1" t="str">
        <f>IF(D540="","",COUNT($D$2:D540))</f>
        <v/>
      </c>
      <c r="F540" s="1" t="str">
        <f>IF(COUNTA(教室申込!$C$4)=0,"",教室申込!$C$4)</f>
        <v/>
      </c>
      <c r="G540" s="1" t="str">
        <f>IF(教室申込!D192="","",IFERROR(DATE(VALUE(LEFT(教室申込!D192,4)),VALUE(MID(教室申込!D192,6,FIND("/",教室申込!D192,6)-6)),VALUE(MID(教室申込!D192,FIND("/",教室申込!D192,6)+1,2))),""))</f>
        <v/>
      </c>
    </row>
    <row r="541" spans="1:7">
      <c r="A541" s="1">
        <f>540</f>
        <v>540</v>
      </c>
      <c r="B541" s="1">
        <f>192</f>
        <v>192</v>
      </c>
      <c r="C541" s="1" t="str">
        <f>"段位認定"</f>
        <v>段位認定</v>
      </c>
      <c r="D541" s="1" t="str">
        <f>IF(教室申込!H192="","",IFERROR(MATCH(教室申込!H192,料金表!$G$6:$G$8,0),""))</f>
        <v/>
      </c>
      <c r="E541" s="1" t="str">
        <f>IF(D541="","",COUNT($D$2:D541))</f>
        <v/>
      </c>
      <c r="F541" s="1" t="str">
        <f>IF(COUNTA(教室申込!$C$4)=0,"",教室申込!$C$4)</f>
        <v/>
      </c>
      <c r="G541" s="1" t="str">
        <f>IF(教室申込!D192="","",IFERROR(DATE(VALUE(LEFT(教室申込!D192,4)),VALUE(MID(教室申込!D192,6,FIND("/",教室申込!D192,6)-6)),VALUE(MID(教室申込!D192,FIND("/",教室申込!D192,6)+1,2))),""))</f>
        <v/>
      </c>
    </row>
    <row r="542" spans="1:7">
      <c r="A542" s="1">
        <f>541</f>
        <v>541</v>
      </c>
      <c r="B542" s="1">
        <f>193</f>
        <v>193</v>
      </c>
      <c r="C542" s="1" t="str">
        <f>"珠算"</f>
        <v>珠算</v>
      </c>
      <c r="D542" s="1" t="str">
        <f>IF(教室申込!F193="","",IFERROR(VALUE(教室申込!F193),""))</f>
        <v/>
      </c>
      <c r="E542" s="1" t="str">
        <f>IF(D542="","",COUNT($D$2:D542))</f>
        <v/>
      </c>
      <c r="F542" s="1" t="str">
        <f>IF(COUNTA(教室申込!$C$4)=0,"",教室申込!$C$4)</f>
        <v/>
      </c>
      <c r="G542" s="1" t="str">
        <f>IF(教室申込!D193="","",IFERROR(DATE(VALUE(LEFT(教室申込!D193,4)),VALUE(MID(教室申込!D193,6,FIND("/",教室申込!D193,6)-6)),VALUE(MID(教室申込!D193,FIND("/",教室申込!D193,6)+1,2))),""))</f>
        <v/>
      </c>
    </row>
    <row r="543" spans="1:7">
      <c r="A543" s="1">
        <f>542</f>
        <v>542</v>
      </c>
      <c r="B543" s="1">
        <f>193</f>
        <v>193</v>
      </c>
      <c r="C543" s="1" t="str">
        <f>"暗算"</f>
        <v>暗算</v>
      </c>
      <c r="D543" s="1" t="str">
        <f>IF(教室申込!G193="","",IFERROR(VALUE(教室申込!G193),""))</f>
        <v/>
      </c>
      <c r="E543" s="1" t="str">
        <f>IF(D543="","",COUNT($D$2:D543))</f>
        <v/>
      </c>
      <c r="F543" s="1" t="str">
        <f>IF(COUNTA(教室申込!$C$4)=0,"",教室申込!$C$4)</f>
        <v/>
      </c>
      <c r="G543" s="1" t="str">
        <f>IF(教室申込!D193="","",IFERROR(DATE(VALUE(LEFT(教室申込!D193,4)),VALUE(MID(教室申込!D193,6,FIND("/",教室申込!D193,6)-6)),VALUE(MID(教室申込!D193,FIND("/",教室申込!D193,6)+1,2))),""))</f>
        <v/>
      </c>
    </row>
    <row r="544" spans="1:7">
      <c r="A544" s="1">
        <f>543</f>
        <v>543</v>
      </c>
      <c r="B544" s="1">
        <f>193</f>
        <v>193</v>
      </c>
      <c r="C544" s="1" t="str">
        <f>"段位認定"</f>
        <v>段位認定</v>
      </c>
      <c r="D544" s="1" t="str">
        <f>IF(教室申込!H193="","",IFERROR(MATCH(教室申込!H193,料金表!$G$6:$G$8,0),""))</f>
        <v/>
      </c>
      <c r="E544" s="1" t="str">
        <f>IF(D544="","",COUNT($D$2:D544))</f>
        <v/>
      </c>
      <c r="F544" s="1" t="str">
        <f>IF(COUNTA(教室申込!$C$4)=0,"",教室申込!$C$4)</f>
        <v/>
      </c>
      <c r="G544" s="1" t="str">
        <f>IF(教室申込!D193="","",IFERROR(DATE(VALUE(LEFT(教室申込!D193,4)),VALUE(MID(教室申込!D193,6,FIND("/",教室申込!D193,6)-6)),VALUE(MID(教室申込!D193,FIND("/",教室申込!D193,6)+1,2))),""))</f>
        <v/>
      </c>
    </row>
    <row r="545" spans="1:7">
      <c r="A545" s="1">
        <f>544</f>
        <v>544</v>
      </c>
      <c r="B545" s="1">
        <f>194</f>
        <v>194</v>
      </c>
      <c r="C545" s="1" t="str">
        <f>"珠算"</f>
        <v>珠算</v>
      </c>
      <c r="D545" s="1" t="str">
        <f>IF(教室申込!F194="","",IFERROR(VALUE(教室申込!F194),""))</f>
        <v/>
      </c>
      <c r="E545" s="1" t="str">
        <f>IF(D545="","",COUNT($D$2:D545))</f>
        <v/>
      </c>
      <c r="F545" s="1" t="str">
        <f>IF(COUNTA(教室申込!$C$4)=0,"",教室申込!$C$4)</f>
        <v/>
      </c>
      <c r="G545" s="1" t="str">
        <f>IF(教室申込!D194="","",IFERROR(DATE(VALUE(LEFT(教室申込!D194,4)),VALUE(MID(教室申込!D194,6,FIND("/",教室申込!D194,6)-6)),VALUE(MID(教室申込!D194,FIND("/",教室申込!D194,6)+1,2))),""))</f>
        <v/>
      </c>
    </row>
    <row r="546" spans="1:7">
      <c r="A546" s="1">
        <f>545</f>
        <v>545</v>
      </c>
      <c r="B546" s="1">
        <f>194</f>
        <v>194</v>
      </c>
      <c r="C546" s="1" t="str">
        <f>"暗算"</f>
        <v>暗算</v>
      </c>
      <c r="D546" s="1" t="str">
        <f>IF(教室申込!G194="","",IFERROR(VALUE(教室申込!G194),""))</f>
        <v/>
      </c>
      <c r="E546" s="1" t="str">
        <f>IF(D546="","",COUNT($D$2:D546))</f>
        <v/>
      </c>
      <c r="F546" s="1" t="str">
        <f>IF(COUNTA(教室申込!$C$4)=0,"",教室申込!$C$4)</f>
        <v/>
      </c>
      <c r="G546" s="1" t="str">
        <f>IF(教室申込!D194="","",IFERROR(DATE(VALUE(LEFT(教室申込!D194,4)),VALUE(MID(教室申込!D194,6,FIND("/",教室申込!D194,6)-6)),VALUE(MID(教室申込!D194,FIND("/",教室申込!D194,6)+1,2))),""))</f>
        <v/>
      </c>
    </row>
    <row r="547" spans="1:7">
      <c r="A547" s="1">
        <f>546</f>
        <v>546</v>
      </c>
      <c r="B547" s="1">
        <f>194</f>
        <v>194</v>
      </c>
      <c r="C547" s="1" t="str">
        <f>"段位認定"</f>
        <v>段位認定</v>
      </c>
      <c r="D547" s="1" t="str">
        <f>IF(教室申込!H194="","",IFERROR(MATCH(教室申込!H194,料金表!$G$6:$G$8,0),""))</f>
        <v/>
      </c>
      <c r="E547" s="1" t="str">
        <f>IF(D547="","",COUNT($D$2:D547))</f>
        <v/>
      </c>
      <c r="F547" s="1" t="str">
        <f>IF(COUNTA(教室申込!$C$4)=0,"",教室申込!$C$4)</f>
        <v/>
      </c>
      <c r="G547" s="1" t="str">
        <f>IF(教室申込!D194="","",IFERROR(DATE(VALUE(LEFT(教室申込!D194,4)),VALUE(MID(教室申込!D194,6,FIND("/",教室申込!D194,6)-6)),VALUE(MID(教室申込!D194,FIND("/",教室申込!D194,6)+1,2))),""))</f>
        <v/>
      </c>
    </row>
    <row r="548" spans="1:7">
      <c r="A548" s="1">
        <f>547</f>
        <v>547</v>
      </c>
      <c r="B548" s="1">
        <f>195</f>
        <v>195</v>
      </c>
      <c r="C548" s="1" t="str">
        <f>"珠算"</f>
        <v>珠算</v>
      </c>
      <c r="D548" s="1" t="str">
        <f>IF(教室申込!F195="","",IFERROR(VALUE(教室申込!F195),""))</f>
        <v/>
      </c>
      <c r="E548" s="1" t="str">
        <f>IF(D548="","",COUNT($D$2:D548))</f>
        <v/>
      </c>
      <c r="F548" s="1" t="str">
        <f>IF(COUNTA(教室申込!$C$4)=0,"",教室申込!$C$4)</f>
        <v/>
      </c>
      <c r="G548" s="1" t="str">
        <f>IF(教室申込!D195="","",IFERROR(DATE(VALUE(LEFT(教室申込!D195,4)),VALUE(MID(教室申込!D195,6,FIND("/",教室申込!D195,6)-6)),VALUE(MID(教室申込!D195,FIND("/",教室申込!D195,6)+1,2))),""))</f>
        <v/>
      </c>
    </row>
    <row r="549" spans="1:7">
      <c r="A549" s="1">
        <f>548</f>
        <v>548</v>
      </c>
      <c r="B549" s="1">
        <f>195</f>
        <v>195</v>
      </c>
      <c r="C549" s="1" t="str">
        <f>"暗算"</f>
        <v>暗算</v>
      </c>
      <c r="D549" s="1" t="str">
        <f>IF(教室申込!G195="","",IFERROR(VALUE(教室申込!G195),""))</f>
        <v/>
      </c>
      <c r="E549" s="1" t="str">
        <f>IF(D549="","",COUNT($D$2:D549))</f>
        <v/>
      </c>
      <c r="F549" s="1" t="str">
        <f>IF(COUNTA(教室申込!$C$4)=0,"",教室申込!$C$4)</f>
        <v/>
      </c>
      <c r="G549" s="1" t="str">
        <f>IF(教室申込!D195="","",IFERROR(DATE(VALUE(LEFT(教室申込!D195,4)),VALUE(MID(教室申込!D195,6,FIND("/",教室申込!D195,6)-6)),VALUE(MID(教室申込!D195,FIND("/",教室申込!D195,6)+1,2))),""))</f>
        <v/>
      </c>
    </row>
    <row r="550" spans="1:7">
      <c r="A550" s="1">
        <f>549</f>
        <v>549</v>
      </c>
      <c r="B550" s="1">
        <f>195</f>
        <v>195</v>
      </c>
      <c r="C550" s="1" t="str">
        <f>"段位認定"</f>
        <v>段位認定</v>
      </c>
      <c r="D550" s="1" t="str">
        <f>IF(教室申込!H195="","",IFERROR(MATCH(教室申込!H195,料金表!$G$6:$G$8,0),""))</f>
        <v/>
      </c>
      <c r="E550" s="1" t="str">
        <f>IF(D550="","",COUNT($D$2:D550))</f>
        <v/>
      </c>
      <c r="F550" s="1" t="str">
        <f>IF(COUNTA(教室申込!$C$4)=0,"",教室申込!$C$4)</f>
        <v/>
      </c>
      <c r="G550" s="1" t="str">
        <f>IF(教室申込!D195="","",IFERROR(DATE(VALUE(LEFT(教室申込!D195,4)),VALUE(MID(教室申込!D195,6,FIND("/",教室申込!D195,6)-6)),VALUE(MID(教室申込!D195,FIND("/",教室申込!D195,6)+1,2))),""))</f>
        <v/>
      </c>
    </row>
    <row r="551" spans="1:7">
      <c r="A551" s="1">
        <f>550</f>
        <v>550</v>
      </c>
      <c r="B551" s="1">
        <f>196</f>
        <v>196</v>
      </c>
      <c r="C551" s="1" t="str">
        <f>"珠算"</f>
        <v>珠算</v>
      </c>
      <c r="D551" s="1" t="str">
        <f>IF(教室申込!F196="","",IFERROR(VALUE(教室申込!F196),""))</f>
        <v/>
      </c>
      <c r="E551" s="1" t="str">
        <f>IF(D551="","",COUNT($D$2:D551))</f>
        <v/>
      </c>
      <c r="F551" s="1" t="str">
        <f>IF(COUNTA(教室申込!$C$4)=0,"",教室申込!$C$4)</f>
        <v/>
      </c>
      <c r="G551" s="1" t="str">
        <f>IF(教室申込!D196="","",IFERROR(DATE(VALUE(LEFT(教室申込!D196,4)),VALUE(MID(教室申込!D196,6,FIND("/",教室申込!D196,6)-6)),VALUE(MID(教室申込!D196,FIND("/",教室申込!D196,6)+1,2))),""))</f>
        <v/>
      </c>
    </row>
    <row r="552" spans="1:7">
      <c r="A552" s="1">
        <f>551</f>
        <v>551</v>
      </c>
      <c r="B552" s="1">
        <f>196</f>
        <v>196</v>
      </c>
      <c r="C552" s="1" t="str">
        <f>"暗算"</f>
        <v>暗算</v>
      </c>
      <c r="D552" s="1" t="str">
        <f>IF(教室申込!G196="","",IFERROR(VALUE(教室申込!G196),""))</f>
        <v/>
      </c>
      <c r="E552" s="1" t="str">
        <f>IF(D552="","",COUNT($D$2:D552))</f>
        <v/>
      </c>
      <c r="F552" s="1" t="str">
        <f>IF(COUNTA(教室申込!$C$4)=0,"",教室申込!$C$4)</f>
        <v/>
      </c>
      <c r="G552" s="1" t="str">
        <f>IF(教室申込!D196="","",IFERROR(DATE(VALUE(LEFT(教室申込!D196,4)),VALUE(MID(教室申込!D196,6,FIND("/",教室申込!D196,6)-6)),VALUE(MID(教室申込!D196,FIND("/",教室申込!D196,6)+1,2))),""))</f>
        <v/>
      </c>
    </row>
    <row r="553" spans="1:7">
      <c r="A553" s="1">
        <f>552</f>
        <v>552</v>
      </c>
      <c r="B553" s="1">
        <f>196</f>
        <v>196</v>
      </c>
      <c r="C553" s="1" t="str">
        <f>"段位認定"</f>
        <v>段位認定</v>
      </c>
      <c r="D553" s="1" t="str">
        <f>IF(教室申込!H196="","",IFERROR(MATCH(教室申込!H196,料金表!$G$6:$G$8,0),""))</f>
        <v/>
      </c>
      <c r="E553" s="1" t="str">
        <f>IF(D553="","",COUNT($D$2:D553))</f>
        <v/>
      </c>
      <c r="F553" s="1" t="str">
        <f>IF(COUNTA(教室申込!$C$4)=0,"",教室申込!$C$4)</f>
        <v/>
      </c>
      <c r="G553" s="1" t="str">
        <f>IF(教室申込!D196="","",IFERROR(DATE(VALUE(LEFT(教室申込!D196,4)),VALUE(MID(教室申込!D196,6,FIND("/",教室申込!D196,6)-6)),VALUE(MID(教室申込!D196,FIND("/",教室申込!D196,6)+1,2))),""))</f>
        <v/>
      </c>
    </row>
    <row r="554" spans="1:7">
      <c r="A554" s="1">
        <f>553</f>
        <v>553</v>
      </c>
      <c r="B554" s="1">
        <f>197</f>
        <v>197</v>
      </c>
      <c r="C554" s="1" t="str">
        <f>"珠算"</f>
        <v>珠算</v>
      </c>
      <c r="D554" s="1" t="str">
        <f>IF(教室申込!F197="","",IFERROR(VALUE(教室申込!F197),""))</f>
        <v/>
      </c>
      <c r="E554" s="1" t="str">
        <f>IF(D554="","",COUNT($D$2:D554))</f>
        <v/>
      </c>
      <c r="F554" s="1" t="str">
        <f>IF(COUNTA(教室申込!$C$4)=0,"",教室申込!$C$4)</f>
        <v/>
      </c>
      <c r="G554" s="1" t="str">
        <f>IF(教室申込!D197="","",IFERROR(DATE(VALUE(LEFT(教室申込!D197,4)),VALUE(MID(教室申込!D197,6,FIND("/",教室申込!D197,6)-6)),VALUE(MID(教室申込!D197,FIND("/",教室申込!D197,6)+1,2))),""))</f>
        <v/>
      </c>
    </row>
    <row r="555" spans="1:7">
      <c r="A555" s="1">
        <f>554</f>
        <v>554</v>
      </c>
      <c r="B555" s="1">
        <f>197</f>
        <v>197</v>
      </c>
      <c r="C555" s="1" t="str">
        <f>"暗算"</f>
        <v>暗算</v>
      </c>
      <c r="D555" s="1" t="str">
        <f>IF(教室申込!G197="","",IFERROR(VALUE(教室申込!G197),""))</f>
        <v/>
      </c>
      <c r="E555" s="1" t="str">
        <f>IF(D555="","",COUNT($D$2:D555))</f>
        <v/>
      </c>
      <c r="F555" s="1" t="str">
        <f>IF(COUNTA(教室申込!$C$4)=0,"",教室申込!$C$4)</f>
        <v/>
      </c>
      <c r="G555" s="1" t="str">
        <f>IF(教室申込!D197="","",IFERROR(DATE(VALUE(LEFT(教室申込!D197,4)),VALUE(MID(教室申込!D197,6,FIND("/",教室申込!D197,6)-6)),VALUE(MID(教室申込!D197,FIND("/",教室申込!D197,6)+1,2))),""))</f>
        <v/>
      </c>
    </row>
    <row r="556" spans="1:7">
      <c r="A556" s="1">
        <f>555</f>
        <v>555</v>
      </c>
      <c r="B556" s="1">
        <f>197</f>
        <v>197</v>
      </c>
      <c r="C556" s="1" t="str">
        <f>"段位認定"</f>
        <v>段位認定</v>
      </c>
      <c r="D556" s="1" t="str">
        <f>IF(教室申込!H197="","",IFERROR(MATCH(教室申込!H197,料金表!$G$6:$G$8,0),""))</f>
        <v/>
      </c>
      <c r="E556" s="1" t="str">
        <f>IF(D556="","",COUNT($D$2:D556))</f>
        <v/>
      </c>
      <c r="F556" s="1" t="str">
        <f>IF(COUNTA(教室申込!$C$4)=0,"",教室申込!$C$4)</f>
        <v/>
      </c>
      <c r="G556" s="1" t="str">
        <f>IF(教室申込!D197="","",IFERROR(DATE(VALUE(LEFT(教室申込!D197,4)),VALUE(MID(教室申込!D197,6,FIND("/",教室申込!D197,6)-6)),VALUE(MID(教室申込!D197,FIND("/",教室申込!D197,6)+1,2))),""))</f>
        <v/>
      </c>
    </row>
    <row r="557" spans="1:7">
      <c r="A557" s="1">
        <f>556</f>
        <v>556</v>
      </c>
      <c r="B557" s="1">
        <f>198</f>
        <v>198</v>
      </c>
      <c r="C557" s="1" t="str">
        <f>"珠算"</f>
        <v>珠算</v>
      </c>
      <c r="D557" s="1" t="str">
        <f>IF(教室申込!F198="","",IFERROR(VALUE(教室申込!F198),""))</f>
        <v/>
      </c>
      <c r="E557" s="1" t="str">
        <f>IF(D557="","",COUNT($D$2:D557))</f>
        <v/>
      </c>
      <c r="F557" s="1" t="str">
        <f>IF(COUNTA(教室申込!$C$4)=0,"",教室申込!$C$4)</f>
        <v/>
      </c>
      <c r="G557" s="1" t="str">
        <f>IF(教室申込!D198="","",IFERROR(DATE(VALUE(LEFT(教室申込!D198,4)),VALUE(MID(教室申込!D198,6,FIND("/",教室申込!D198,6)-6)),VALUE(MID(教室申込!D198,FIND("/",教室申込!D198,6)+1,2))),""))</f>
        <v/>
      </c>
    </row>
    <row r="558" spans="1:7">
      <c r="A558" s="1">
        <f>557</f>
        <v>557</v>
      </c>
      <c r="B558" s="1">
        <f>198</f>
        <v>198</v>
      </c>
      <c r="C558" s="1" t="str">
        <f>"暗算"</f>
        <v>暗算</v>
      </c>
      <c r="D558" s="1" t="str">
        <f>IF(教室申込!G198="","",IFERROR(VALUE(教室申込!G198),""))</f>
        <v/>
      </c>
      <c r="E558" s="1" t="str">
        <f>IF(D558="","",COUNT($D$2:D558))</f>
        <v/>
      </c>
      <c r="F558" s="1" t="str">
        <f>IF(COUNTA(教室申込!$C$4)=0,"",教室申込!$C$4)</f>
        <v/>
      </c>
      <c r="G558" s="1" t="str">
        <f>IF(教室申込!D198="","",IFERROR(DATE(VALUE(LEFT(教室申込!D198,4)),VALUE(MID(教室申込!D198,6,FIND("/",教室申込!D198,6)-6)),VALUE(MID(教室申込!D198,FIND("/",教室申込!D198,6)+1,2))),""))</f>
        <v/>
      </c>
    </row>
    <row r="559" spans="1:7">
      <c r="A559" s="1">
        <f>558</f>
        <v>558</v>
      </c>
      <c r="B559" s="1">
        <f>198</f>
        <v>198</v>
      </c>
      <c r="C559" s="1" t="str">
        <f>"段位認定"</f>
        <v>段位認定</v>
      </c>
      <c r="D559" s="1" t="str">
        <f>IF(教室申込!H198="","",IFERROR(MATCH(教室申込!H198,料金表!$G$6:$G$8,0),""))</f>
        <v/>
      </c>
      <c r="E559" s="1" t="str">
        <f>IF(D559="","",COUNT($D$2:D559))</f>
        <v/>
      </c>
      <c r="F559" s="1" t="str">
        <f>IF(COUNTA(教室申込!$C$4)=0,"",教室申込!$C$4)</f>
        <v/>
      </c>
      <c r="G559" s="1" t="str">
        <f>IF(教室申込!D198="","",IFERROR(DATE(VALUE(LEFT(教室申込!D198,4)),VALUE(MID(教室申込!D198,6,FIND("/",教室申込!D198,6)-6)),VALUE(MID(教室申込!D198,FIND("/",教室申込!D198,6)+1,2))),""))</f>
        <v/>
      </c>
    </row>
    <row r="560" spans="1:7">
      <c r="A560" s="1">
        <f>559</f>
        <v>559</v>
      </c>
      <c r="B560" s="1">
        <f>199</f>
        <v>199</v>
      </c>
      <c r="C560" s="1" t="str">
        <f>"珠算"</f>
        <v>珠算</v>
      </c>
      <c r="D560" s="1" t="str">
        <f>IF(教室申込!F199="","",IFERROR(VALUE(教室申込!F199),""))</f>
        <v/>
      </c>
      <c r="E560" s="1" t="str">
        <f>IF(D560="","",COUNT($D$2:D560))</f>
        <v/>
      </c>
      <c r="F560" s="1" t="str">
        <f>IF(COUNTA(教室申込!$C$4)=0,"",教室申込!$C$4)</f>
        <v/>
      </c>
      <c r="G560" s="1" t="str">
        <f>IF(教室申込!D199="","",IFERROR(DATE(VALUE(LEFT(教室申込!D199,4)),VALUE(MID(教室申込!D199,6,FIND("/",教室申込!D199,6)-6)),VALUE(MID(教室申込!D199,FIND("/",教室申込!D199,6)+1,2))),""))</f>
        <v/>
      </c>
    </row>
    <row r="561" spans="1:7">
      <c r="A561" s="1">
        <f>560</f>
        <v>560</v>
      </c>
      <c r="B561" s="1">
        <f>199</f>
        <v>199</v>
      </c>
      <c r="C561" s="1" t="str">
        <f>"暗算"</f>
        <v>暗算</v>
      </c>
      <c r="D561" s="1" t="str">
        <f>IF(教室申込!G199="","",IFERROR(VALUE(教室申込!G199),""))</f>
        <v/>
      </c>
      <c r="E561" s="1" t="str">
        <f>IF(D561="","",COUNT($D$2:D561))</f>
        <v/>
      </c>
      <c r="F561" s="1" t="str">
        <f>IF(COUNTA(教室申込!$C$4)=0,"",教室申込!$C$4)</f>
        <v/>
      </c>
      <c r="G561" s="1" t="str">
        <f>IF(教室申込!D199="","",IFERROR(DATE(VALUE(LEFT(教室申込!D199,4)),VALUE(MID(教室申込!D199,6,FIND("/",教室申込!D199,6)-6)),VALUE(MID(教室申込!D199,FIND("/",教室申込!D199,6)+1,2))),""))</f>
        <v/>
      </c>
    </row>
    <row r="562" spans="1:7">
      <c r="A562" s="1">
        <f>561</f>
        <v>561</v>
      </c>
      <c r="B562" s="1">
        <f>199</f>
        <v>199</v>
      </c>
      <c r="C562" s="1" t="str">
        <f>"段位認定"</f>
        <v>段位認定</v>
      </c>
      <c r="D562" s="1" t="str">
        <f>IF(教室申込!H199="","",IFERROR(MATCH(教室申込!H199,料金表!$G$6:$G$8,0),""))</f>
        <v/>
      </c>
      <c r="E562" s="1" t="str">
        <f>IF(D562="","",COUNT($D$2:D562))</f>
        <v/>
      </c>
      <c r="F562" s="1" t="str">
        <f>IF(COUNTA(教室申込!$C$4)=0,"",教室申込!$C$4)</f>
        <v/>
      </c>
      <c r="G562" s="1" t="str">
        <f>IF(教室申込!D199="","",IFERROR(DATE(VALUE(LEFT(教室申込!D199,4)),VALUE(MID(教室申込!D199,6,FIND("/",教室申込!D199,6)-6)),VALUE(MID(教室申込!D199,FIND("/",教室申込!D199,6)+1,2))),""))</f>
        <v/>
      </c>
    </row>
    <row r="563" spans="1:7">
      <c r="A563" s="1">
        <f>562</f>
        <v>562</v>
      </c>
      <c r="B563" s="1">
        <f>200</f>
        <v>200</v>
      </c>
      <c r="C563" s="1" t="str">
        <f>"珠算"</f>
        <v>珠算</v>
      </c>
      <c r="D563" s="1" t="str">
        <f>IF(教室申込!F200="","",IFERROR(VALUE(教室申込!F200),""))</f>
        <v/>
      </c>
      <c r="E563" s="1" t="str">
        <f>IF(D563="","",COUNT($D$2:D563))</f>
        <v/>
      </c>
      <c r="F563" s="1" t="str">
        <f>IF(COUNTA(教室申込!$C$4)=0,"",教室申込!$C$4)</f>
        <v/>
      </c>
      <c r="G563" s="1" t="str">
        <f>IF(教室申込!D200="","",IFERROR(DATE(VALUE(LEFT(教室申込!D200,4)),VALUE(MID(教室申込!D200,6,FIND("/",教室申込!D200,6)-6)),VALUE(MID(教室申込!D200,FIND("/",教室申込!D200,6)+1,2))),""))</f>
        <v/>
      </c>
    </row>
    <row r="564" spans="1:7">
      <c r="A564" s="1">
        <f>563</f>
        <v>563</v>
      </c>
      <c r="B564" s="1">
        <f>200</f>
        <v>200</v>
      </c>
      <c r="C564" s="1" t="str">
        <f>"暗算"</f>
        <v>暗算</v>
      </c>
      <c r="D564" s="1" t="str">
        <f>IF(教室申込!G200="","",IFERROR(VALUE(教室申込!G200),""))</f>
        <v/>
      </c>
      <c r="E564" s="1" t="str">
        <f>IF(D564="","",COUNT($D$2:D564))</f>
        <v/>
      </c>
      <c r="F564" s="1" t="str">
        <f>IF(COUNTA(教室申込!$C$4)=0,"",教室申込!$C$4)</f>
        <v/>
      </c>
      <c r="G564" s="1" t="str">
        <f>IF(教室申込!D200="","",IFERROR(DATE(VALUE(LEFT(教室申込!D200,4)),VALUE(MID(教室申込!D200,6,FIND("/",教室申込!D200,6)-6)),VALUE(MID(教室申込!D200,FIND("/",教室申込!D200,6)+1,2))),""))</f>
        <v/>
      </c>
    </row>
    <row r="565" spans="1:7">
      <c r="A565" s="1">
        <f>564</f>
        <v>564</v>
      </c>
      <c r="B565" s="1">
        <f>200</f>
        <v>200</v>
      </c>
      <c r="C565" s="1" t="str">
        <f>"段位認定"</f>
        <v>段位認定</v>
      </c>
      <c r="D565" s="1" t="str">
        <f>IF(教室申込!H200="","",IFERROR(MATCH(教室申込!H200,料金表!$G$6:$G$8,0),""))</f>
        <v/>
      </c>
      <c r="E565" s="1" t="str">
        <f>IF(D565="","",COUNT($D$2:D565))</f>
        <v/>
      </c>
      <c r="F565" s="1" t="str">
        <f>IF(COUNTA(教室申込!$C$4)=0,"",教室申込!$C$4)</f>
        <v/>
      </c>
      <c r="G565" s="1" t="str">
        <f>IF(教室申込!D200="","",IFERROR(DATE(VALUE(LEFT(教室申込!D200,4)),VALUE(MID(教室申込!D200,6,FIND("/",教室申込!D200,6)-6)),VALUE(MID(教室申込!D200,FIND("/",教室申込!D200,6)+1,2))),""))</f>
        <v/>
      </c>
    </row>
    <row r="566" spans="1:7">
      <c r="A566" s="1">
        <f>565</f>
        <v>565</v>
      </c>
      <c r="B566" s="1">
        <f>201</f>
        <v>201</v>
      </c>
      <c r="C566" s="1" t="str">
        <f>"珠算"</f>
        <v>珠算</v>
      </c>
      <c r="D566" s="1" t="str">
        <f>IF(教室申込!F201="","",IFERROR(VALUE(教室申込!F201),""))</f>
        <v/>
      </c>
      <c r="E566" s="1" t="str">
        <f>IF(D566="","",COUNT($D$2:D566))</f>
        <v/>
      </c>
      <c r="F566" s="1" t="str">
        <f>IF(COUNTA(教室申込!$C$4)=0,"",教室申込!$C$4)</f>
        <v/>
      </c>
      <c r="G566" s="1" t="str">
        <f>IF(教室申込!D201="","",IFERROR(DATE(VALUE(LEFT(教室申込!D201,4)),VALUE(MID(教室申込!D201,6,FIND("/",教室申込!D201,6)-6)),VALUE(MID(教室申込!D201,FIND("/",教室申込!D201,6)+1,2))),""))</f>
        <v/>
      </c>
    </row>
    <row r="567" spans="1:7">
      <c r="A567" s="1">
        <f>566</f>
        <v>566</v>
      </c>
      <c r="B567" s="1">
        <f>201</f>
        <v>201</v>
      </c>
      <c r="C567" s="1" t="str">
        <f>"暗算"</f>
        <v>暗算</v>
      </c>
      <c r="D567" s="1" t="str">
        <f>IF(教室申込!G201="","",IFERROR(VALUE(教室申込!G201),""))</f>
        <v/>
      </c>
      <c r="E567" s="1" t="str">
        <f>IF(D567="","",COUNT($D$2:D567))</f>
        <v/>
      </c>
      <c r="F567" s="1" t="str">
        <f>IF(COUNTA(教室申込!$C$4)=0,"",教室申込!$C$4)</f>
        <v/>
      </c>
      <c r="G567" s="1" t="str">
        <f>IF(教室申込!D201="","",IFERROR(DATE(VALUE(LEFT(教室申込!D201,4)),VALUE(MID(教室申込!D201,6,FIND("/",教室申込!D201,6)-6)),VALUE(MID(教室申込!D201,FIND("/",教室申込!D201,6)+1,2))),""))</f>
        <v/>
      </c>
    </row>
    <row r="568" spans="1:7">
      <c r="A568" s="1">
        <f>567</f>
        <v>567</v>
      </c>
      <c r="B568" s="1">
        <f>201</f>
        <v>201</v>
      </c>
      <c r="C568" s="1" t="str">
        <f>"段位認定"</f>
        <v>段位認定</v>
      </c>
      <c r="D568" s="1" t="str">
        <f>IF(教室申込!H201="","",IFERROR(MATCH(教室申込!H201,料金表!$G$6:$G$8,0),""))</f>
        <v/>
      </c>
      <c r="E568" s="1" t="str">
        <f>IF(D568="","",COUNT($D$2:D568))</f>
        <v/>
      </c>
      <c r="F568" s="1" t="str">
        <f>IF(COUNTA(教室申込!$C$4)=0,"",教室申込!$C$4)</f>
        <v/>
      </c>
      <c r="G568" s="1" t="str">
        <f>IF(教室申込!D201="","",IFERROR(DATE(VALUE(LEFT(教室申込!D201,4)),VALUE(MID(教室申込!D201,6,FIND("/",教室申込!D201,6)-6)),VALUE(MID(教室申込!D201,FIND("/",教室申込!D201,6)+1,2))),""))</f>
        <v/>
      </c>
    </row>
    <row r="569" spans="1:7">
      <c r="A569" s="1">
        <f>568</f>
        <v>568</v>
      </c>
      <c r="B569" s="1">
        <f>202</f>
        <v>202</v>
      </c>
      <c r="C569" s="1" t="str">
        <f>"珠算"</f>
        <v>珠算</v>
      </c>
      <c r="D569" s="1" t="str">
        <f>IF(教室申込!F202="","",IFERROR(VALUE(教室申込!F202),""))</f>
        <v/>
      </c>
      <c r="E569" s="1" t="str">
        <f>IF(D569="","",COUNT($D$2:D569))</f>
        <v/>
      </c>
      <c r="F569" s="1" t="str">
        <f>IF(COUNTA(教室申込!$C$4)=0,"",教室申込!$C$4)</f>
        <v/>
      </c>
      <c r="G569" s="1" t="str">
        <f>IF(教室申込!D202="","",IFERROR(DATE(VALUE(LEFT(教室申込!D202,4)),VALUE(MID(教室申込!D202,6,FIND("/",教室申込!D202,6)-6)),VALUE(MID(教室申込!D202,FIND("/",教室申込!D202,6)+1,2))),""))</f>
        <v/>
      </c>
    </row>
    <row r="570" spans="1:7">
      <c r="A570" s="1">
        <f>569</f>
        <v>569</v>
      </c>
      <c r="B570" s="1">
        <f>202</f>
        <v>202</v>
      </c>
      <c r="C570" s="1" t="str">
        <f>"暗算"</f>
        <v>暗算</v>
      </c>
      <c r="D570" s="1" t="str">
        <f>IF(教室申込!G202="","",IFERROR(VALUE(教室申込!G202),""))</f>
        <v/>
      </c>
      <c r="E570" s="1" t="str">
        <f>IF(D570="","",COUNT($D$2:D570))</f>
        <v/>
      </c>
      <c r="F570" s="1" t="str">
        <f>IF(COUNTA(教室申込!$C$4)=0,"",教室申込!$C$4)</f>
        <v/>
      </c>
      <c r="G570" s="1" t="str">
        <f>IF(教室申込!D202="","",IFERROR(DATE(VALUE(LEFT(教室申込!D202,4)),VALUE(MID(教室申込!D202,6,FIND("/",教室申込!D202,6)-6)),VALUE(MID(教室申込!D202,FIND("/",教室申込!D202,6)+1,2))),""))</f>
        <v/>
      </c>
    </row>
    <row r="571" spans="1:7">
      <c r="A571" s="1">
        <f>570</f>
        <v>570</v>
      </c>
      <c r="B571" s="1">
        <f>202</f>
        <v>202</v>
      </c>
      <c r="C571" s="1" t="str">
        <f>"段位認定"</f>
        <v>段位認定</v>
      </c>
      <c r="D571" s="1" t="str">
        <f>IF(教室申込!H202="","",IFERROR(MATCH(教室申込!H202,料金表!$G$6:$G$8,0),""))</f>
        <v/>
      </c>
      <c r="E571" s="1" t="str">
        <f>IF(D571="","",COUNT($D$2:D571))</f>
        <v/>
      </c>
      <c r="F571" s="1" t="str">
        <f>IF(COUNTA(教室申込!$C$4)=0,"",教室申込!$C$4)</f>
        <v/>
      </c>
      <c r="G571" s="1" t="str">
        <f>IF(教室申込!D202="","",IFERROR(DATE(VALUE(LEFT(教室申込!D202,4)),VALUE(MID(教室申込!D202,6,FIND("/",教室申込!D202,6)-6)),VALUE(MID(教室申込!D202,FIND("/",教室申込!D202,6)+1,2))),""))</f>
        <v/>
      </c>
    </row>
    <row r="572" spans="1:7">
      <c r="A572" s="1">
        <f>571</f>
        <v>571</v>
      </c>
      <c r="B572" s="1">
        <f>203</f>
        <v>203</v>
      </c>
      <c r="C572" s="1" t="str">
        <f>"珠算"</f>
        <v>珠算</v>
      </c>
      <c r="D572" s="1" t="str">
        <f>IF(教室申込!F203="","",IFERROR(VALUE(教室申込!F203),""))</f>
        <v/>
      </c>
      <c r="E572" s="1" t="str">
        <f>IF(D572="","",COUNT($D$2:D572))</f>
        <v/>
      </c>
      <c r="F572" s="1" t="str">
        <f>IF(COUNTA(教室申込!$C$4)=0,"",教室申込!$C$4)</f>
        <v/>
      </c>
      <c r="G572" s="1" t="str">
        <f>IF(教室申込!D203="","",IFERROR(DATE(VALUE(LEFT(教室申込!D203,4)),VALUE(MID(教室申込!D203,6,FIND("/",教室申込!D203,6)-6)),VALUE(MID(教室申込!D203,FIND("/",教室申込!D203,6)+1,2))),""))</f>
        <v/>
      </c>
    </row>
    <row r="573" spans="1:7">
      <c r="A573" s="1">
        <f>572</f>
        <v>572</v>
      </c>
      <c r="B573" s="1">
        <f>203</f>
        <v>203</v>
      </c>
      <c r="C573" s="1" t="str">
        <f>"暗算"</f>
        <v>暗算</v>
      </c>
      <c r="D573" s="1" t="str">
        <f>IF(教室申込!G203="","",IFERROR(VALUE(教室申込!G203),""))</f>
        <v/>
      </c>
      <c r="E573" s="1" t="str">
        <f>IF(D573="","",COUNT($D$2:D573))</f>
        <v/>
      </c>
      <c r="F573" s="1" t="str">
        <f>IF(COUNTA(教室申込!$C$4)=0,"",教室申込!$C$4)</f>
        <v/>
      </c>
      <c r="G573" s="1" t="str">
        <f>IF(教室申込!D203="","",IFERROR(DATE(VALUE(LEFT(教室申込!D203,4)),VALUE(MID(教室申込!D203,6,FIND("/",教室申込!D203,6)-6)),VALUE(MID(教室申込!D203,FIND("/",教室申込!D203,6)+1,2))),""))</f>
        <v/>
      </c>
    </row>
    <row r="574" spans="1:7">
      <c r="A574" s="1">
        <f>573</f>
        <v>573</v>
      </c>
      <c r="B574" s="1">
        <f>203</f>
        <v>203</v>
      </c>
      <c r="C574" s="1" t="str">
        <f>"段位認定"</f>
        <v>段位認定</v>
      </c>
      <c r="D574" s="1" t="str">
        <f>IF(教室申込!H203="","",IFERROR(MATCH(教室申込!H203,料金表!$G$6:$G$8,0),""))</f>
        <v/>
      </c>
      <c r="E574" s="1" t="str">
        <f>IF(D574="","",COUNT($D$2:D574))</f>
        <v/>
      </c>
      <c r="F574" s="1" t="str">
        <f>IF(COUNTA(教室申込!$C$4)=0,"",教室申込!$C$4)</f>
        <v/>
      </c>
      <c r="G574" s="1" t="str">
        <f>IF(教室申込!D203="","",IFERROR(DATE(VALUE(LEFT(教室申込!D203,4)),VALUE(MID(教室申込!D203,6,FIND("/",教室申込!D203,6)-6)),VALUE(MID(教室申込!D203,FIND("/",教室申込!D203,6)+1,2))),""))</f>
        <v/>
      </c>
    </row>
    <row r="575" spans="1:7">
      <c r="A575" s="1">
        <f>574</f>
        <v>574</v>
      </c>
      <c r="B575" s="1">
        <f>204</f>
        <v>204</v>
      </c>
      <c r="C575" s="1" t="str">
        <f>"珠算"</f>
        <v>珠算</v>
      </c>
      <c r="D575" s="1" t="str">
        <f>IF(教室申込!F204="","",IFERROR(VALUE(教室申込!F204),""))</f>
        <v/>
      </c>
      <c r="E575" s="1" t="str">
        <f>IF(D575="","",COUNT($D$2:D575))</f>
        <v/>
      </c>
      <c r="F575" s="1" t="str">
        <f>IF(COUNTA(教室申込!$C$4)=0,"",教室申込!$C$4)</f>
        <v/>
      </c>
      <c r="G575" s="1" t="str">
        <f>IF(教室申込!D204="","",IFERROR(DATE(VALUE(LEFT(教室申込!D204,4)),VALUE(MID(教室申込!D204,6,FIND("/",教室申込!D204,6)-6)),VALUE(MID(教室申込!D204,FIND("/",教室申込!D204,6)+1,2))),""))</f>
        <v/>
      </c>
    </row>
    <row r="576" spans="1:7">
      <c r="A576" s="1">
        <f>575</f>
        <v>575</v>
      </c>
      <c r="B576" s="1">
        <f>204</f>
        <v>204</v>
      </c>
      <c r="C576" s="1" t="str">
        <f>"暗算"</f>
        <v>暗算</v>
      </c>
      <c r="D576" s="1" t="str">
        <f>IF(教室申込!G204="","",IFERROR(VALUE(教室申込!G204),""))</f>
        <v/>
      </c>
      <c r="E576" s="1" t="str">
        <f>IF(D576="","",COUNT($D$2:D576))</f>
        <v/>
      </c>
      <c r="F576" s="1" t="str">
        <f>IF(COUNTA(教室申込!$C$4)=0,"",教室申込!$C$4)</f>
        <v/>
      </c>
      <c r="G576" s="1" t="str">
        <f>IF(教室申込!D204="","",IFERROR(DATE(VALUE(LEFT(教室申込!D204,4)),VALUE(MID(教室申込!D204,6,FIND("/",教室申込!D204,6)-6)),VALUE(MID(教室申込!D204,FIND("/",教室申込!D204,6)+1,2))),""))</f>
        <v/>
      </c>
    </row>
    <row r="577" spans="1:7">
      <c r="A577" s="1">
        <f>576</f>
        <v>576</v>
      </c>
      <c r="B577" s="1">
        <f>204</f>
        <v>204</v>
      </c>
      <c r="C577" s="1" t="str">
        <f>"段位認定"</f>
        <v>段位認定</v>
      </c>
      <c r="D577" s="1" t="str">
        <f>IF(教室申込!H204="","",IFERROR(MATCH(教室申込!H204,料金表!$G$6:$G$8,0),""))</f>
        <v/>
      </c>
      <c r="E577" s="1" t="str">
        <f>IF(D577="","",COUNT($D$2:D577))</f>
        <v/>
      </c>
      <c r="F577" s="1" t="str">
        <f>IF(COUNTA(教室申込!$C$4)=0,"",教室申込!$C$4)</f>
        <v/>
      </c>
      <c r="G577" s="1" t="str">
        <f>IF(教室申込!D204="","",IFERROR(DATE(VALUE(LEFT(教室申込!D204,4)),VALUE(MID(教室申込!D204,6,FIND("/",教室申込!D204,6)-6)),VALUE(MID(教室申込!D204,FIND("/",教室申込!D204,6)+1,2))),""))</f>
        <v/>
      </c>
    </row>
    <row r="578" spans="1:7">
      <c r="A578" s="1">
        <f>577</f>
        <v>577</v>
      </c>
      <c r="B578" s="1">
        <f>205</f>
        <v>205</v>
      </c>
      <c r="C578" s="1" t="str">
        <f>"珠算"</f>
        <v>珠算</v>
      </c>
      <c r="D578" s="1" t="str">
        <f>IF(教室申込!F205="","",IFERROR(VALUE(教室申込!F205),""))</f>
        <v/>
      </c>
      <c r="E578" s="1" t="str">
        <f>IF(D578="","",COUNT($D$2:D578))</f>
        <v/>
      </c>
      <c r="F578" s="1" t="str">
        <f>IF(COUNTA(教室申込!$C$4)=0,"",教室申込!$C$4)</f>
        <v/>
      </c>
      <c r="G578" s="1" t="str">
        <f>IF(教室申込!D205="","",IFERROR(DATE(VALUE(LEFT(教室申込!D205,4)),VALUE(MID(教室申込!D205,6,FIND("/",教室申込!D205,6)-6)),VALUE(MID(教室申込!D205,FIND("/",教室申込!D205,6)+1,2))),""))</f>
        <v/>
      </c>
    </row>
    <row r="579" spans="1:7">
      <c r="A579" s="1">
        <f>578</f>
        <v>578</v>
      </c>
      <c r="B579" s="1">
        <f>205</f>
        <v>205</v>
      </c>
      <c r="C579" s="1" t="str">
        <f>"暗算"</f>
        <v>暗算</v>
      </c>
      <c r="D579" s="1" t="str">
        <f>IF(教室申込!G205="","",IFERROR(VALUE(教室申込!G205),""))</f>
        <v/>
      </c>
      <c r="E579" s="1" t="str">
        <f>IF(D579="","",COUNT($D$2:D579))</f>
        <v/>
      </c>
      <c r="F579" s="1" t="str">
        <f>IF(COUNTA(教室申込!$C$4)=0,"",教室申込!$C$4)</f>
        <v/>
      </c>
      <c r="G579" s="1" t="str">
        <f>IF(教室申込!D205="","",IFERROR(DATE(VALUE(LEFT(教室申込!D205,4)),VALUE(MID(教室申込!D205,6,FIND("/",教室申込!D205,6)-6)),VALUE(MID(教室申込!D205,FIND("/",教室申込!D205,6)+1,2))),""))</f>
        <v/>
      </c>
    </row>
    <row r="580" spans="1:7">
      <c r="A580" s="1">
        <f>579</f>
        <v>579</v>
      </c>
      <c r="B580" s="1">
        <f>205</f>
        <v>205</v>
      </c>
      <c r="C580" s="1" t="str">
        <f>"段位認定"</f>
        <v>段位認定</v>
      </c>
      <c r="D580" s="1" t="str">
        <f>IF(教室申込!H205="","",IFERROR(MATCH(教室申込!H205,料金表!$G$6:$G$8,0),""))</f>
        <v/>
      </c>
      <c r="E580" s="1" t="str">
        <f>IF(D580="","",COUNT($D$2:D580))</f>
        <v/>
      </c>
      <c r="F580" s="1" t="str">
        <f>IF(COUNTA(教室申込!$C$4)=0,"",教室申込!$C$4)</f>
        <v/>
      </c>
      <c r="G580" s="1" t="str">
        <f>IF(教室申込!D205="","",IFERROR(DATE(VALUE(LEFT(教室申込!D205,4)),VALUE(MID(教室申込!D205,6,FIND("/",教室申込!D205,6)-6)),VALUE(MID(教室申込!D205,FIND("/",教室申込!D205,6)+1,2))),""))</f>
        <v/>
      </c>
    </row>
    <row r="581" spans="1:7">
      <c r="A581" s="1">
        <f>580</f>
        <v>580</v>
      </c>
      <c r="B581" s="1">
        <f>206</f>
        <v>206</v>
      </c>
      <c r="C581" s="1" t="str">
        <f>"珠算"</f>
        <v>珠算</v>
      </c>
      <c r="D581" s="1" t="str">
        <f>IF(教室申込!F206="","",IFERROR(VALUE(教室申込!F206),""))</f>
        <v/>
      </c>
      <c r="E581" s="1" t="str">
        <f>IF(D581="","",COUNT($D$2:D581))</f>
        <v/>
      </c>
      <c r="F581" s="1" t="str">
        <f>IF(COUNTA(教室申込!$C$4)=0,"",教室申込!$C$4)</f>
        <v/>
      </c>
      <c r="G581" s="1" t="str">
        <f>IF(教室申込!D206="","",IFERROR(DATE(VALUE(LEFT(教室申込!D206,4)),VALUE(MID(教室申込!D206,6,FIND("/",教室申込!D206,6)-6)),VALUE(MID(教室申込!D206,FIND("/",教室申込!D206,6)+1,2))),""))</f>
        <v/>
      </c>
    </row>
    <row r="582" spans="1:7">
      <c r="A582" s="1">
        <f>581</f>
        <v>581</v>
      </c>
      <c r="B582" s="1">
        <f>206</f>
        <v>206</v>
      </c>
      <c r="C582" s="1" t="str">
        <f>"暗算"</f>
        <v>暗算</v>
      </c>
      <c r="D582" s="1" t="str">
        <f>IF(教室申込!G206="","",IFERROR(VALUE(教室申込!G206),""))</f>
        <v/>
      </c>
      <c r="E582" s="1" t="str">
        <f>IF(D582="","",COUNT($D$2:D582))</f>
        <v/>
      </c>
      <c r="F582" s="1" t="str">
        <f>IF(COUNTA(教室申込!$C$4)=0,"",教室申込!$C$4)</f>
        <v/>
      </c>
      <c r="G582" s="1" t="str">
        <f>IF(教室申込!D206="","",IFERROR(DATE(VALUE(LEFT(教室申込!D206,4)),VALUE(MID(教室申込!D206,6,FIND("/",教室申込!D206,6)-6)),VALUE(MID(教室申込!D206,FIND("/",教室申込!D206,6)+1,2))),""))</f>
        <v/>
      </c>
    </row>
    <row r="583" spans="1:7">
      <c r="A583" s="1">
        <f>582</f>
        <v>582</v>
      </c>
      <c r="B583" s="1">
        <f>206</f>
        <v>206</v>
      </c>
      <c r="C583" s="1" t="str">
        <f>"段位認定"</f>
        <v>段位認定</v>
      </c>
      <c r="D583" s="1" t="str">
        <f>IF(教室申込!H206="","",IFERROR(MATCH(教室申込!H206,料金表!$G$6:$G$8,0),""))</f>
        <v/>
      </c>
      <c r="E583" s="1" t="str">
        <f>IF(D583="","",COUNT($D$2:D583))</f>
        <v/>
      </c>
      <c r="F583" s="1" t="str">
        <f>IF(COUNTA(教室申込!$C$4)=0,"",教室申込!$C$4)</f>
        <v/>
      </c>
      <c r="G583" s="1" t="str">
        <f>IF(教室申込!D206="","",IFERROR(DATE(VALUE(LEFT(教室申込!D206,4)),VALUE(MID(教室申込!D206,6,FIND("/",教室申込!D206,6)-6)),VALUE(MID(教室申込!D206,FIND("/",教室申込!D206,6)+1,2))),""))</f>
        <v/>
      </c>
    </row>
    <row r="584" spans="1:7">
      <c r="A584" s="1">
        <f>583</f>
        <v>583</v>
      </c>
      <c r="B584" s="1">
        <f>207</f>
        <v>207</v>
      </c>
      <c r="C584" s="1" t="str">
        <f>"珠算"</f>
        <v>珠算</v>
      </c>
      <c r="D584" s="1" t="str">
        <f>IF(教室申込!F207="","",IFERROR(VALUE(教室申込!F207),""))</f>
        <v/>
      </c>
      <c r="E584" s="1" t="str">
        <f>IF(D584="","",COUNT($D$2:D584))</f>
        <v/>
      </c>
      <c r="F584" s="1" t="str">
        <f>IF(COUNTA(教室申込!$C$4)=0,"",教室申込!$C$4)</f>
        <v/>
      </c>
      <c r="G584" s="1" t="str">
        <f>IF(教室申込!D207="","",IFERROR(DATE(VALUE(LEFT(教室申込!D207,4)),VALUE(MID(教室申込!D207,6,FIND("/",教室申込!D207,6)-6)),VALUE(MID(教室申込!D207,FIND("/",教室申込!D207,6)+1,2))),""))</f>
        <v/>
      </c>
    </row>
    <row r="585" spans="1:7">
      <c r="A585" s="1">
        <f>584</f>
        <v>584</v>
      </c>
      <c r="B585" s="1">
        <f>207</f>
        <v>207</v>
      </c>
      <c r="C585" s="1" t="str">
        <f>"暗算"</f>
        <v>暗算</v>
      </c>
      <c r="D585" s="1" t="str">
        <f>IF(教室申込!G207="","",IFERROR(VALUE(教室申込!G207),""))</f>
        <v/>
      </c>
      <c r="E585" s="1" t="str">
        <f>IF(D585="","",COUNT($D$2:D585))</f>
        <v/>
      </c>
      <c r="F585" s="1" t="str">
        <f>IF(COUNTA(教室申込!$C$4)=0,"",教室申込!$C$4)</f>
        <v/>
      </c>
      <c r="G585" s="1" t="str">
        <f>IF(教室申込!D207="","",IFERROR(DATE(VALUE(LEFT(教室申込!D207,4)),VALUE(MID(教室申込!D207,6,FIND("/",教室申込!D207,6)-6)),VALUE(MID(教室申込!D207,FIND("/",教室申込!D207,6)+1,2))),""))</f>
        <v/>
      </c>
    </row>
    <row r="586" spans="1:7">
      <c r="A586" s="1">
        <f>585</f>
        <v>585</v>
      </c>
      <c r="B586" s="1">
        <f>207</f>
        <v>207</v>
      </c>
      <c r="C586" s="1" t="str">
        <f>"段位認定"</f>
        <v>段位認定</v>
      </c>
      <c r="D586" s="1" t="str">
        <f>IF(教室申込!H207="","",IFERROR(MATCH(教室申込!H207,料金表!$G$6:$G$8,0),""))</f>
        <v/>
      </c>
      <c r="E586" s="1" t="str">
        <f>IF(D586="","",COUNT($D$2:D586))</f>
        <v/>
      </c>
      <c r="F586" s="1" t="str">
        <f>IF(COUNTA(教室申込!$C$4)=0,"",教室申込!$C$4)</f>
        <v/>
      </c>
      <c r="G586" s="1" t="str">
        <f>IF(教室申込!D207="","",IFERROR(DATE(VALUE(LEFT(教室申込!D207,4)),VALUE(MID(教室申込!D207,6,FIND("/",教室申込!D207,6)-6)),VALUE(MID(教室申込!D207,FIND("/",教室申込!D207,6)+1,2))),""))</f>
        <v/>
      </c>
    </row>
    <row r="587" spans="1:7">
      <c r="A587" s="1">
        <f>586</f>
        <v>586</v>
      </c>
      <c r="B587" s="1">
        <f>208</f>
        <v>208</v>
      </c>
      <c r="C587" s="1" t="str">
        <f>"珠算"</f>
        <v>珠算</v>
      </c>
      <c r="D587" s="1" t="str">
        <f>IF(教室申込!F208="","",IFERROR(VALUE(教室申込!F208),""))</f>
        <v/>
      </c>
      <c r="E587" s="1" t="str">
        <f>IF(D587="","",COUNT($D$2:D587))</f>
        <v/>
      </c>
      <c r="F587" s="1" t="str">
        <f>IF(COUNTA(教室申込!$C$4)=0,"",教室申込!$C$4)</f>
        <v/>
      </c>
      <c r="G587" s="1" t="str">
        <f>IF(教室申込!D208="","",IFERROR(DATE(VALUE(LEFT(教室申込!D208,4)),VALUE(MID(教室申込!D208,6,FIND("/",教室申込!D208,6)-6)),VALUE(MID(教室申込!D208,FIND("/",教室申込!D208,6)+1,2))),""))</f>
        <v/>
      </c>
    </row>
    <row r="588" spans="1:7">
      <c r="A588" s="1">
        <f>587</f>
        <v>587</v>
      </c>
      <c r="B588" s="1">
        <f>208</f>
        <v>208</v>
      </c>
      <c r="C588" s="1" t="str">
        <f>"暗算"</f>
        <v>暗算</v>
      </c>
      <c r="D588" s="1" t="str">
        <f>IF(教室申込!G208="","",IFERROR(VALUE(教室申込!G208),""))</f>
        <v/>
      </c>
      <c r="E588" s="1" t="str">
        <f>IF(D588="","",COUNT($D$2:D588))</f>
        <v/>
      </c>
      <c r="F588" s="1" t="str">
        <f>IF(COUNTA(教室申込!$C$4)=0,"",教室申込!$C$4)</f>
        <v/>
      </c>
      <c r="G588" s="1" t="str">
        <f>IF(教室申込!D208="","",IFERROR(DATE(VALUE(LEFT(教室申込!D208,4)),VALUE(MID(教室申込!D208,6,FIND("/",教室申込!D208,6)-6)),VALUE(MID(教室申込!D208,FIND("/",教室申込!D208,6)+1,2))),""))</f>
        <v/>
      </c>
    </row>
    <row r="589" spans="1:7">
      <c r="A589" s="1">
        <f>588</f>
        <v>588</v>
      </c>
      <c r="B589" s="1">
        <f>208</f>
        <v>208</v>
      </c>
      <c r="C589" s="1" t="str">
        <f>"段位認定"</f>
        <v>段位認定</v>
      </c>
      <c r="D589" s="1" t="str">
        <f>IF(教室申込!H208="","",IFERROR(MATCH(教室申込!H208,料金表!$G$6:$G$8,0),""))</f>
        <v/>
      </c>
      <c r="E589" s="1" t="str">
        <f>IF(D589="","",COUNT($D$2:D589))</f>
        <v/>
      </c>
      <c r="F589" s="1" t="str">
        <f>IF(COUNTA(教室申込!$C$4)=0,"",教室申込!$C$4)</f>
        <v/>
      </c>
      <c r="G589" s="1" t="str">
        <f>IF(教室申込!D208="","",IFERROR(DATE(VALUE(LEFT(教室申込!D208,4)),VALUE(MID(教室申込!D208,6,FIND("/",教室申込!D208,6)-6)),VALUE(MID(教室申込!D208,FIND("/",教室申込!D208,6)+1,2))),""))</f>
        <v/>
      </c>
    </row>
    <row r="590" spans="1:7">
      <c r="A590" s="1">
        <f>589</f>
        <v>589</v>
      </c>
      <c r="B590" s="1">
        <f>209</f>
        <v>209</v>
      </c>
      <c r="C590" s="1" t="str">
        <f>"珠算"</f>
        <v>珠算</v>
      </c>
      <c r="D590" s="1" t="str">
        <f>IF(教室申込!F209="","",IFERROR(VALUE(教室申込!F209),""))</f>
        <v/>
      </c>
      <c r="E590" s="1" t="str">
        <f>IF(D590="","",COUNT($D$2:D590))</f>
        <v/>
      </c>
      <c r="F590" s="1" t="str">
        <f>IF(COUNTA(教室申込!$C$4)=0,"",教室申込!$C$4)</f>
        <v/>
      </c>
      <c r="G590" s="1" t="str">
        <f>IF(教室申込!D209="","",IFERROR(DATE(VALUE(LEFT(教室申込!D209,4)),VALUE(MID(教室申込!D209,6,FIND("/",教室申込!D209,6)-6)),VALUE(MID(教室申込!D209,FIND("/",教室申込!D209,6)+1,2))),""))</f>
        <v/>
      </c>
    </row>
    <row r="591" spans="1:7">
      <c r="A591" s="1">
        <f>590</f>
        <v>590</v>
      </c>
      <c r="B591" s="1">
        <f>209</f>
        <v>209</v>
      </c>
      <c r="C591" s="1" t="str">
        <f>"暗算"</f>
        <v>暗算</v>
      </c>
      <c r="D591" s="1" t="str">
        <f>IF(教室申込!G209="","",IFERROR(VALUE(教室申込!G209),""))</f>
        <v/>
      </c>
      <c r="E591" s="1" t="str">
        <f>IF(D591="","",COUNT($D$2:D591))</f>
        <v/>
      </c>
      <c r="F591" s="1" t="str">
        <f>IF(COUNTA(教室申込!$C$4)=0,"",教室申込!$C$4)</f>
        <v/>
      </c>
      <c r="G591" s="1" t="str">
        <f>IF(教室申込!D209="","",IFERROR(DATE(VALUE(LEFT(教室申込!D209,4)),VALUE(MID(教室申込!D209,6,FIND("/",教室申込!D209,6)-6)),VALUE(MID(教室申込!D209,FIND("/",教室申込!D209,6)+1,2))),""))</f>
        <v/>
      </c>
    </row>
    <row r="592" spans="1:7">
      <c r="A592" s="1">
        <f>591</f>
        <v>591</v>
      </c>
      <c r="B592" s="1">
        <f>209</f>
        <v>209</v>
      </c>
      <c r="C592" s="1" t="str">
        <f>"段位認定"</f>
        <v>段位認定</v>
      </c>
      <c r="D592" s="1" t="str">
        <f>IF(教室申込!H209="","",IFERROR(MATCH(教室申込!H209,料金表!$G$6:$G$8,0),""))</f>
        <v/>
      </c>
      <c r="E592" s="1" t="str">
        <f>IF(D592="","",COUNT($D$2:D592))</f>
        <v/>
      </c>
      <c r="F592" s="1" t="str">
        <f>IF(COUNTA(教室申込!$C$4)=0,"",教室申込!$C$4)</f>
        <v/>
      </c>
      <c r="G592" s="1" t="str">
        <f>IF(教室申込!D209="","",IFERROR(DATE(VALUE(LEFT(教室申込!D209,4)),VALUE(MID(教室申込!D209,6,FIND("/",教室申込!D209,6)-6)),VALUE(MID(教室申込!D209,FIND("/",教室申込!D209,6)+1,2))),""))</f>
        <v/>
      </c>
    </row>
    <row r="593" spans="1:7">
      <c r="A593" s="1">
        <f>592</f>
        <v>592</v>
      </c>
      <c r="B593" s="1">
        <f>210</f>
        <v>210</v>
      </c>
      <c r="C593" s="1" t="str">
        <f>"珠算"</f>
        <v>珠算</v>
      </c>
      <c r="D593" s="1" t="str">
        <f>IF(教室申込!F210="","",IFERROR(VALUE(教室申込!F210),""))</f>
        <v/>
      </c>
      <c r="E593" s="1" t="str">
        <f>IF(D593="","",COUNT($D$2:D593))</f>
        <v/>
      </c>
      <c r="F593" s="1" t="str">
        <f>IF(COUNTA(教室申込!$C$4)=0,"",教室申込!$C$4)</f>
        <v/>
      </c>
      <c r="G593" s="1" t="str">
        <f>IF(教室申込!D210="","",IFERROR(DATE(VALUE(LEFT(教室申込!D210,4)),VALUE(MID(教室申込!D210,6,FIND("/",教室申込!D210,6)-6)),VALUE(MID(教室申込!D210,FIND("/",教室申込!D210,6)+1,2))),""))</f>
        <v/>
      </c>
    </row>
    <row r="594" spans="1:7">
      <c r="A594" s="1">
        <f>593</f>
        <v>593</v>
      </c>
      <c r="B594" s="1">
        <f>210</f>
        <v>210</v>
      </c>
      <c r="C594" s="1" t="str">
        <f>"暗算"</f>
        <v>暗算</v>
      </c>
      <c r="D594" s="1" t="str">
        <f>IF(教室申込!G210="","",IFERROR(VALUE(教室申込!G210),""))</f>
        <v/>
      </c>
      <c r="E594" s="1" t="str">
        <f>IF(D594="","",COUNT($D$2:D594))</f>
        <v/>
      </c>
      <c r="F594" s="1" t="str">
        <f>IF(COUNTA(教室申込!$C$4)=0,"",教室申込!$C$4)</f>
        <v/>
      </c>
      <c r="G594" s="1" t="str">
        <f>IF(教室申込!D210="","",IFERROR(DATE(VALUE(LEFT(教室申込!D210,4)),VALUE(MID(教室申込!D210,6,FIND("/",教室申込!D210,6)-6)),VALUE(MID(教室申込!D210,FIND("/",教室申込!D210,6)+1,2))),""))</f>
        <v/>
      </c>
    </row>
    <row r="595" spans="1:7">
      <c r="A595" s="1">
        <f>594</f>
        <v>594</v>
      </c>
      <c r="B595" s="1">
        <f>210</f>
        <v>210</v>
      </c>
      <c r="C595" s="1" t="str">
        <f>"段位認定"</f>
        <v>段位認定</v>
      </c>
      <c r="D595" s="1" t="str">
        <f>IF(教室申込!H210="","",IFERROR(MATCH(教室申込!H210,料金表!$G$6:$G$8,0),""))</f>
        <v/>
      </c>
      <c r="E595" s="1" t="str">
        <f>IF(D595="","",COUNT($D$2:D595))</f>
        <v/>
      </c>
      <c r="F595" s="1" t="str">
        <f>IF(COUNTA(教室申込!$C$4)=0,"",教室申込!$C$4)</f>
        <v/>
      </c>
      <c r="G595" s="1" t="str">
        <f>IF(教室申込!D210="","",IFERROR(DATE(VALUE(LEFT(教室申込!D210,4)),VALUE(MID(教室申込!D210,6,FIND("/",教室申込!D210,6)-6)),VALUE(MID(教室申込!D210,FIND("/",教室申込!D210,6)+1,2))),""))</f>
        <v/>
      </c>
    </row>
    <row r="596" spans="1:7">
      <c r="A596" s="1">
        <f>595</f>
        <v>595</v>
      </c>
      <c r="B596" s="1">
        <f>211</f>
        <v>211</v>
      </c>
      <c r="C596" s="1" t="str">
        <f>"珠算"</f>
        <v>珠算</v>
      </c>
      <c r="D596" s="1" t="str">
        <f>IF(教室申込!F211="","",IFERROR(VALUE(教室申込!F211),""))</f>
        <v/>
      </c>
      <c r="E596" s="1" t="str">
        <f>IF(D596="","",COUNT($D$2:D596))</f>
        <v/>
      </c>
      <c r="F596" s="1" t="str">
        <f>IF(COUNTA(教室申込!$C$4)=0,"",教室申込!$C$4)</f>
        <v/>
      </c>
      <c r="G596" s="1" t="str">
        <f>IF(教室申込!D211="","",IFERROR(DATE(VALUE(LEFT(教室申込!D211,4)),VALUE(MID(教室申込!D211,6,FIND("/",教室申込!D211,6)-6)),VALUE(MID(教室申込!D211,FIND("/",教室申込!D211,6)+1,2))),""))</f>
        <v/>
      </c>
    </row>
    <row r="597" spans="1:7">
      <c r="A597" s="1">
        <f>596</f>
        <v>596</v>
      </c>
      <c r="B597" s="1">
        <f>211</f>
        <v>211</v>
      </c>
      <c r="C597" s="1" t="str">
        <f>"暗算"</f>
        <v>暗算</v>
      </c>
      <c r="D597" s="1" t="str">
        <f>IF(教室申込!G211="","",IFERROR(VALUE(教室申込!G211),""))</f>
        <v/>
      </c>
      <c r="E597" s="1" t="str">
        <f>IF(D597="","",COUNT($D$2:D597))</f>
        <v/>
      </c>
      <c r="F597" s="1" t="str">
        <f>IF(COUNTA(教室申込!$C$4)=0,"",教室申込!$C$4)</f>
        <v/>
      </c>
      <c r="G597" s="1" t="str">
        <f>IF(教室申込!D211="","",IFERROR(DATE(VALUE(LEFT(教室申込!D211,4)),VALUE(MID(教室申込!D211,6,FIND("/",教室申込!D211,6)-6)),VALUE(MID(教室申込!D211,FIND("/",教室申込!D211,6)+1,2))),""))</f>
        <v/>
      </c>
    </row>
    <row r="598" spans="1:7">
      <c r="A598" s="1">
        <f>597</f>
        <v>597</v>
      </c>
      <c r="B598" s="1">
        <f>211</f>
        <v>211</v>
      </c>
      <c r="C598" s="1" t="str">
        <f>"段位認定"</f>
        <v>段位認定</v>
      </c>
      <c r="D598" s="1" t="str">
        <f>IF(教室申込!H211="","",IFERROR(MATCH(教室申込!H211,料金表!$G$6:$G$8,0),""))</f>
        <v/>
      </c>
      <c r="E598" s="1" t="str">
        <f>IF(D598="","",COUNT($D$2:D598))</f>
        <v/>
      </c>
      <c r="F598" s="1" t="str">
        <f>IF(COUNTA(教室申込!$C$4)=0,"",教室申込!$C$4)</f>
        <v/>
      </c>
      <c r="G598" s="1" t="str">
        <f>IF(教室申込!D211="","",IFERROR(DATE(VALUE(LEFT(教室申込!D211,4)),VALUE(MID(教室申込!D211,6,FIND("/",教室申込!D211,6)-6)),VALUE(MID(教室申込!D211,FIND("/",教室申込!D211,6)+1,2))),""))</f>
        <v/>
      </c>
    </row>
    <row r="599" spans="1:7">
      <c r="A599" s="1">
        <f>598</f>
        <v>598</v>
      </c>
      <c r="B599" s="1">
        <f>212</f>
        <v>212</v>
      </c>
      <c r="C599" s="1" t="str">
        <f>"珠算"</f>
        <v>珠算</v>
      </c>
      <c r="D599" s="1" t="str">
        <f>IF(教室申込!F212="","",IFERROR(VALUE(教室申込!F212),""))</f>
        <v/>
      </c>
      <c r="E599" s="1" t="str">
        <f>IF(D599="","",COUNT($D$2:D599))</f>
        <v/>
      </c>
      <c r="F599" s="1" t="str">
        <f>IF(COUNTA(教室申込!$C$4)=0,"",教室申込!$C$4)</f>
        <v/>
      </c>
      <c r="G599" s="1" t="str">
        <f>IF(教室申込!D212="","",IFERROR(DATE(VALUE(LEFT(教室申込!D212,4)),VALUE(MID(教室申込!D212,6,FIND("/",教室申込!D212,6)-6)),VALUE(MID(教室申込!D212,FIND("/",教室申込!D212,6)+1,2))),""))</f>
        <v/>
      </c>
    </row>
    <row r="600" spans="1:7">
      <c r="A600" s="1">
        <f>599</f>
        <v>599</v>
      </c>
      <c r="B600" s="1">
        <f>212</f>
        <v>212</v>
      </c>
      <c r="C600" s="1" t="str">
        <f>"暗算"</f>
        <v>暗算</v>
      </c>
      <c r="D600" s="1" t="str">
        <f>IF(教室申込!G212="","",IFERROR(VALUE(教室申込!G212),""))</f>
        <v/>
      </c>
      <c r="E600" s="1" t="str">
        <f>IF(D600="","",COUNT($D$2:D600))</f>
        <v/>
      </c>
      <c r="F600" s="1" t="str">
        <f>IF(COUNTA(教室申込!$C$4)=0,"",教室申込!$C$4)</f>
        <v/>
      </c>
      <c r="G600" s="1" t="str">
        <f>IF(教室申込!D212="","",IFERROR(DATE(VALUE(LEFT(教室申込!D212,4)),VALUE(MID(教室申込!D212,6,FIND("/",教室申込!D212,6)-6)),VALUE(MID(教室申込!D212,FIND("/",教室申込!D212,6)+1,2))),""))</f>
        <v/>
      </c>
    </row>
    <row r="601" spans="1:7">
      <c r="A601" s="1">
        <f>600</f>
        <v>600</v>
      </c>
      <c r="B601" s="1">
        <f>212</f>
        <v>212</v>
      </c>
      <c r="C601" s="1" t="str">
        <f>"段位認定"</f>
        <v>段位認定</v>
      </c>
      <c r="D601" s="1" t="str">
        <f>IF(教室申込!H212="","",IFERROR(MATCH(教室申込!H212,料金表!$G$6:$G$8,0),""))</f>
        <v/>
      </c>
      <c r="E601" s="1" t="str">
        <f>IF(D601="","",COUNT($D$2:D601))</f>
        <v/>
      </c>
      <c r="F601" s="1" t="str">
        <f>IF(COUNTA(教室申込!$C$4)=0,"",教室申込!$C$4)</f>
        <v/>
      </c>
      <c r="G601" s="1" t="str">
        <f>IF(教室申込!D212="","",IFERROR(DATE(VALUE(LEFT(教室申込!D212,4)),VALUE(MID(教室申込!D212,6,FIND("/",教室申込!D212,6)-6)),VALUE(MID(教室申込!D212,FIND("/",教室申込!D212,6)+1,2))),""))</f>
        <v/>
      </c>
    </row>
  </sheetData>
  <sheetProtection password="9747" sheet="1" objects="1" scenarios="1"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教室申込</vt:lpstr>
      <vt:lpstr>料金表</vt:lpstr>
      <vt:lpstr>名簿貼付用</vt:lpstr>
      <vt:lpstr>展開用</vt:lpstr>
      <vt:lpstr>教室申込!Print_Titles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植村 威之</cp:lastModifiedBy>
  <cp:lastPrinted>2026-10-25T02:00:59Z</cp:lastPrinted>
  <dcterms:modified xsi:type="dcterms:W3CDTF">2026-10-25T02:05:00Z</dcterms:modified>
</cp:coreProperties>
</file>